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chartsheets/sheet7.xml" ContentType="application/vnd.openxmlformats-officedocument.spreadsheetml.chartsheet+xml"/>
  <Override PartName="/xl/chartsheets/sheet8.xml" ContentType="application/vnd.openxmlformats-officedocument.spreadsheetml.chartsheet+xml"/>
  <Override PartName="/xl/chartsheets/sheet9.xml" ContentType="application/vnd.openxmlformats-officedocument.spreadsheetml.chartsheet+xml"/>
  <Override PartName="/xl/chartsheets/sheet10.xml" ContentType="application/vnd.openxmlformats-officedocument.spreadsheetml.chartsheet+xml"/>
  <Override PartName="/xl/chartsheets/sheet11.xml" ContentType="application/vnd.openxmlformats-officedocument.spreadsheetml.chartsheet+xml"/>
  <Override PartName="/xl/worksheets/sheet5.xml" ContentType="application/vnd.openxmlformats-officedocument.spreadsheetml.worksheet+xml"/>
  <Override PartName="/xl/chartsheets/sheet12.xml" ContentType="application/vnd.openxmlformats-officedocument.spreadsheetml.chartsheet+xml"/>
  <Override PartName="/xl/chartsheets/sheet13.xml" ContentType="application/vnd.openxmlformats-officedocument.spreadsheetml.chartsheet+xml"/>
  <Override PartName="/xl/chartsheets/sheet14.xml" ContentType="application/vnd.openxmlformats-officedocument.spreadsheetml.chart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drawings/drawing7.xml" ContentType="application/vnd.openxmlformats-officedocument.drawing+xml"/>
  <Override PartName="/xl/charts/chart6.xml" ContentType="application/vnd.openxmlformats-officedocument.drawingml.chart+xml"/>
  <Override PartName="/xl/drawings/drawing8.xml" ContentType="application/vnd.openxmlformats-officedocument.drawing+xml"/>
  <Override PartName="/xl/charts/chart7.xml" ContentType="application/vnd.openxmlformats-officedocument.drawingml.chart+xml"/>
  <Override PartName="/xl/drawings/drawing9.xml" ContentType="application/vnd.openxmlformats-officedocument.drawing+xml"/>
  <Override PartName="/xl/charts/chart8.xml" ContentType="application/vnd.openxmlformats-officedocument.drawingml.chart+xml"/>
  <Override PartName="/xl/drawings/drawing10.xml" ContentType="application/vnd.openxmlformats-officedocument.drawing+xml"/>
  <Override PartName="/xl/charts/chart9.xml" ContentType="application/vnd.openxmlformats-officedocument.drawingml.chart+xml"/>
  <Override PartName="/xl/drawings/drawing11.xml" ContentType="application/vnd.openxmlformats-officedocument.drawing+xml"/>
  <Override PartName="/xl/charts/chart10.xml" ContentType="application/vnd.openxmlformats-officedocument.drawingml.chart+xml"/>
  <Override PartName="/xl/drawings/drawing12.xml" ContentType="application/vnd.openxmlformats-officedocument.drawing+xml"/>
  <Override PartName="/xl/charts/chart11.xml" ContentType="application/vnd.openxmlformats-officedocument.drawingml.chart+xml"/>
  <Override PartName="/xl/drawings/drawing13.xml" ContentType="application/vnd.openxmlformats-officedocument.drawing+xml"/>
  <Override PartName="/xl/charts/chart12.xml" ContentType="application/vnd.openxmlformats-officedocument.drawingml.chart+xml"/>
  <Override PartName="/xl/drawings/drawing14.xml" ContentType="application/vnd.openxmlformats-officedocument.drawing+xml"/>
  <Override PartName="/xl/charts/chart13.xml" ContentType="application/vnd.openxmlformats-officedocument.drawingml.chart+xml"/>
  <Override PartName="/xl/drawings/drawing15.xml" ContentType="application/vnd.openxmlformats-officedocument.drawing+xml"/>
  <Override PartName="/xl/charts/chart14.xml" ContentType="application/vnd.openxmlformats-officedocument.drawingml.chart+xml"/>
  <Override PartName="/xl/drawings/drawing16.xml" ContentType="application/vnd.openxmlformats-officedocument.drawing+xml"/>
  <Override PartName="/xl/charts/chart15.xml" ContentType="application/vnd.openxmlformats-officedocument.drawingml.chart+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95" yWindow="525" windowWidth="7575" windowHeight="6000" tabRatio="819"/>
  </bookViews>
  <sheets>
    <sheet name="Project Description" sheetId="4" r:id="rId1"/>
    <sheet name="Records" sheetId="1" r:id="rId2"/>
    <sheet name="Cell values" sheetId="2" r:id="rId3"/>
    <sheet name="Analysis" sheetId="3" r:id="rId4"/>
    <sheet name="Figure 1" sheetId="11" r:id="rId5"/>
    <sheet name="Figure 2" sheetId="12" r:id="rId6"/>
    <sheet name="Figure 3" sheetId="13" r:id="rId7"/>
    <sheet name="Figure 4" sheetId="14" r:id="rId8"/>
    <sheet name="Figure 5" sheetId="16" r:id="rId9"/>
    <sheet name="Figure 5.1" sheetId="17" r:id="rId10"/>
    <sheet name="Figure 5.2" sheetId="18" r:id="rId11"/>
    <sheet name="Figure 5.3" sheetId="19" r:id="rId12"/>
    <sheet name="Figure 5.4" sheetId="20" r:id="rId13"/>
    <sheet name="Figure 5.5" sheetId="21" r:id="rId14"/>
    <sheet name="Figure 5.6" sheetId="27" r:id="rId15"/>
    <sheet name="Figure 6" sheetId="5" r:id="rId16"/>
    <sheet name="Figure 7" sheetId="15" r:id="rId17"/>
    <sheet name="Figure 8" sheetId="22" r:id="rId18"/>
    <sheet name="Figure 9" sheetId="23" r:id="rId19"/>
    <sheet name="Table 3" sheetId="6" r:id="rId20"/>
    <sheet name="Table 4" sheetId="9" r:id="rId21"/>
    <sheet name="Table 5" sheetId="10" r:id="rId22"/>
    <sheet name="Crosstab data" sheetId="7" r:id="rId23"/>
    <sheet name="Crosstab" sheetId="8" r:id="rId24"/>
  </sheets>
  <calcPr calcId="145621"/>
</workbook>
</file>

<file path=xl/calcChain.xml><?xml version="1.0" encoding="utf-8"?>
<calcChain xmlns="http://schemas.openxmlformats.org/spreadsheetml/2006/main">
  <c r="B9" i="6" l="1"/>
  <c r="B8" i="6"/>
  <c r="B7" i="6"/>
  <c r="B6" i="6"/>
  <c r="B5" i="6"/>
  <c r="B4" i="6"/>
  <c r="B3" i="6"/>
  <c r="E3" i="5" l="1"/>
  <c r="E4" i="5"/>
  <c r="E5" i="5"/>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2" i="5"/>
  <c r="AI5" i="3" l="1"/>
  <c r="AJ5" i="3"/>
  <c r="AJ4" i="3"/>
  <c r="AI4" i="3"/>
  <c r="AJ3" i="3"/>
  <c r="AI3" i="3"/>
  <c r="Z3" i="3"/>
  <c r="AK4" i="3" l="1"/>
  <c r="AK5" i="3"/>
  <c r="AK3" i="3"/>
  <c r="Y3" i="3"/>
  <c r="X3" i="3"/>
  <c r="Z276" i="1"/>
  <c r="Z270" i="1"/>
  <c r="Z266" i="1"/>
  <c r="Z231" i="1"/>
  <c r="Z223" i="1"/>
  <c r="Z206" i="1"/>
  <c r="Z165" i="1"/>
  <c r="Z147" i="1"/>
  <c r="Z42" i="1"/>
  <c r="Z325" i="1"/>
  <c r="Z315" i="1"/>
  <c r="Z324" i="1"/>
  <c r="Z296" i="1"/>
  <c r="Z300" i="1"/>
  <c r="Z286" i="1"/>
  <c r="Z284" i="1"/>
  <c r="Z258" i="1"/>
  <c r="Z248" i="1"/>
  <c r="Z244" i="1"/>
  <c r="Z243" i="1"/>
  <c r="Z241" i="1"/>
  <c r="Z225" i="1"/>
  <c r="Z222" i="1"/>
  <c r="Z207" i="1"/>
  <c r="Z208" i="1"/>
  <c r="Z188" i="1"/>
  <c r="Z191" i="1"/>
  <c r="Z182" i="1"/>
  <c r="Z163" i="1" l="1"/>
  <c r="Z159" i="1"/>
  <c r="Z155" i="1"/>
  <c r="Z154" i="1"/>
  <c r="Z136" i="1" l="1"/>
  <c r="Z128" i="1"/>
  <c r="Z122" i="1"/>
  <c r="Z121" i="1"/>
  <c r="Z102" i="1"/>
  <c r="Z98" i="1"/>
  <c r="Z95" i="1"/>
  <c r="Z97" i="1"/>
  <c r="Z88" i="1"/>
  <c r="Z94" i="1"/>
  <c r="Z27" i="1"/>
  <c r="Z326" i="1"/>
  <c r="Z309" i="1"/>
  <c r="Z313" i="1"/>
  <c r="Z310" i="1"/>
  <c r="Z323" i="1"/>
  <c r="Z322" i="1"/>
  <c r="Z321" i="1"/>
  <c r="Z320" i="1"/>
  <c r="Z319" i="1"/>
  <c r="Z311" i="1"/>
  <c r="Z314" i="1"/>
  <c r="Z318" i="1" l="1"/>
  <c r="Z306" i="1"/>
  <c r="Z305" i="1"/>
  <c r="Z303" i="1"/>
  <c r="Z302" i="1"/>
  <c r="Z304" i="1"/>
  <c r="Z298" i="1"/>
  <c r="Z299" i="1"/>
  <c r="Z297" i="1" l="1"/>
  <c r="Z295" i="1"/>
  <c r="Z294" i="1"/>
  <c r="Z293" i="1"/>
  <c r="Z292" i="1"/>
  <c r="Z291" i="1"/>
  <c r="Z285" i="1"/>
  <c r="Z290" i="1"/>
  <c r="Z289" i="1"/>
  <c r="Z288" i="1"/>
  <c r="Z281" i="1"/>
  <c r="Z279" i="1"/>
  <c r="Z280" i="1" l="1"/>
  <c r="Z278" i="1"/>
  <c r="Z277" i="1"/>
  <c r="Z271" i="1"/>
  <c r="Z274" i="1"/>
  <c r="Z272" i="1"/>
  <c r="Z273" i="1"/>
  <c r="Z269" i="1"/>
  <c r="Z265" i="1"/>
  <c r="Z260" i="1"/>
  <c r="Z259" i="1"/>
  <c r="Z257" i="1"/>
  <c r="Z256" i="1"/>
  <c r="Z255" i="1"/>
  <c r="Z254" i="1"/>
  <c r="Z250" i="1"/>
  <c r="Z242" i="1"/>
  <c r="Z238" i="1"/>
  <c r="Z239" i="1"/>
  <c r="Z236" i="1"/>
  <c r="Z234" i="1"/>
  <c r="Z232" i="1"/>
  <c r="Z230" i="1"/>
  <c r="Z227" i="1"/>
  <c r="Z228" i="1"/>
  <c r="Z224" i="1"/>
  <c r="Z221" i="1"/>
  <c r="Z216" i="1"/>
  <c r="Z218" i="1"/>
  <c r="Z215" i="1" l="1"/>
  <c r="Z204" i="1"/>
  <c r="Z209" i="1"/>
  <c r="Z197" i="1"/>
  <c r="Z202" i="1"/>
  <c r="Z193" i="1"/>
  <c r="Z186" i="1"/>
  <c r="Z183" i="1"/>
  <c r="Z178" i="1"/>
  <c r="Z176" i="1"/>
  <c r="Z170" i="1"/>
  <c r="Z169" i="1"/>
  <c r="Z168" i="1"/>
  <c r="Z162" i="1"/>
  <c r="Z161" i="1"/>
  <c r="Z157" i="1"/>
  <c r="Z160" i="1"/>
  <c r="Z158" i="1"/>
  <c r="Z153" i="1"/>
  <c r="Z151" i="1"/>
  <c r="Z152" i="1"/>
  <c r="Z148" i="1"/>
  <c r="Z144" i="1" l="1"/>
  <c r="Z142" i="1"/>
  <c r="Z140" i="1"/>
  <c r="Z139" i="1"/>
  <c r="Z138" i="1"/>
  <c r="Z134" i="1"/>
  <c r="Z133" i="1"/>
  <c r="I3" i="3" s="1"/>
  <c r="Z131" i="1" l="1"/>
  <c r="Z129" i="1"/>
  <c r="Z126" i="1"/>
  <c r="Z120" i="1"/>
  <c r="Z117" i="1"/>
  <c r="Z112" i="1"/>
  <c r="Z110" i="1"/>
  <c r="Z106" i="1"/>
  <c r="Z105" i="1"/>
  <c r="Z103" i="1"/>
  <c r="Z101" i="1"/>
  <c r="Z99" i="1"/>
  <c r="Z92" i="1"/>
  <c r="Z83" i="1"/>
  <c r="Z80" i="1"/>
  <c r="Z78" i="1"/>
  <c r="Z76" i="1"/>
  <c r="Z77" i="1"/>
  <c r="Z74" i="1"/>
  <c r="Z71" i="1"/>
  <c r="Z67" i="1"/>
  <c r="Z65" i="1"/>
  <c r="Z62" i="1"/>
  <c r="Z61" i="1"/>
  <c r="Z57" i="1"/>
  <c r="Z55" i="1"/>
  <c r="Z58" i="1"/>
  <c r="Z56" i="1"/>
  <c r="Z54" i="1"/>
  <c r="Z52" i="1"/>
  <c r="Z51" i="1"/>
  <c r="Z48" i="1"/>
  <c r="Z47" i="1"/>
  <c r="Z45" i="1"/>
  <c r="Z40" i="1"/>
  <c r="Z36" i="1"/>
  <c r="Z37" i="1"/>
  <c r="Z35" i="1"/>
  <c r="Z34" i="1"/>
  <c r="Z31" i="1"/>
  <c r="Z25" i="1"/>
  <c r="Z12" i="1" l="1"/>
  <c r="Z9" i="1"/>
  <c r="Z8" i="1"/>
  <c r="Z7" i="1"/>
  <c r="Z6" i="1"/>
  <c r="N10" i="3" l="1"/>
  <c r="N9" i="3"/>
  <c r="N8" i="3"/>
  <c r="N7" i="3"/>
  <c r="N6" i="3"/>
  <c r="N5" i="3"/>
  <c r="N4" i="3"/>
  <c r="C7" i="3" l="1"/>
  <c r="D7" i="3" s="1"/>
  <c r="C13" i="3"/>
  <c r="D13" i="3" s="1"/>
  <c r="C8" i="3"/>
  <c r="D8" i="3" s="1"/>
  <c r="C2" i="3"/>
  <c r="D2" i="3" s="1"/>
  <c r="C10" i="3"/>
  <c r="D10" i="3" s="1"/>
  <c r="C18" i="3"/>
  <c r="D18" i="3" s="1"/>
  <c r="C6" i="3"/>
  <c r="D6" i="3" s="1"/>
  <c r="C3" i="3"/>
  <c r="D3" i="3" s="1"/>
  <c r="C16" i="3"/>
  <c r="D16" i="3" s="1"/>
  <c r="C9" i="3"/>
  <c r="D9" i="3" s="1"/>
  <c r="C12" i="3"/>
  <c r="D12" i="3" s="1"/>
  <c r="C17" i="3"/>
  <c r="D17" i="3" s="1"/>
  <c r="C5" i="3"/>
  <c r="D5" i="3" s="1"/>
  <c r="C11" i="3"/>
  <c r="D11" i="3" s="1"/>
  <c r="C14" i="3"/>
  <c r="D14" i="3" s="1"/>
  <c r="C15" i="3"/>
  <c r="D15" i="3" s="1"/>
  <c r="C4" i="3"/>
  <c r="D4" i="3" s="1"/>
  <c r="Z327" i="1" l="1"/>
  <c r="Z312" i="1"/>
  <c r="Z251" i="1"/>
  <c r="Z246" i="1"/>
  <c r="Z237" i="1"/>
  <c r="Z213" i="1"/>
  <c r="Z210" i="1"/>
  <c r="Z195" i="1"/>
  <c r="Z185" i="1"/>
  <c r="Z187" i="1"/>
  <c r="Z181" i="1"/>
  <c r="Z180" i="1"/>
  <c r="Z177" i="1"/>
  <c r="Z164" i="1"/>
  <c r="Z156" i="1"/>
  <c r="Z145" i="1"/>
  <c r="Z143" i="1"/>
  <c r="Z141" i="1"/>
  <c r="Z130" i="1"/>
  <c r="Z125" i="1"/>
  <c r="Z108" i="1"/>
  <c r="Z104" i="1"/>
  <c r="Z84" i="1"/>
  <c r="Z91" i="1"/>
  <c r="Z70" i="1"/>
  <c r="Z68" i="1"/>
  <c r="Z64" i="1"/>
  <c r="Z43" i="1" l="1"/>
  <c r="Z38" i="1"/>
  <c r="Z30" i="1"/>
  <c r="Z29" i="1"/>
  <c r="Z26" i="1"/>
  <c r="Z5" i="1"/>
  <c r="Z275" i="1" l="1"/>
  <c r="Z267" i="1"/>
  <c r="Z268" i="1"/>
  <c r="Z264" i="1"/>
  <c r="Z263" i="1"/>
  <c r="Z262" i="1"/>
  <c r="Z261" i="1"/>
  <c r="Z253" i="1"/>
  <c r="Z245" i="1"/>
  <c r="Z226" i="1"/>
  <c r="Z205" i="1"/>
  <c r="Z212" i="1"/>
  <c r="Z203" i="1"/>
  <c r="Z200" i="1" l="1"/>
  <c r="Z194" i="1"/>
  <c r="Z198" i="1"/>
  <c r="Z201" i="1"/>
  <c r="Z192" i="1"/>
  <c r="Z179" i="1"/>
  <c r="Z175" i="1"/>
  <c r="Z171" i="1"/>
  <c r="Z166" i="1"/>
  <c r="Z119" i="1"/>
  <c r="Z114" i="1" l="1"/>
  <c r="Z116" i="1"/>
  <c r="Z113" i="1"/>
  <c r="Z115" i="1"/>
  <c r="Z107" i="1" l="1"/>
  <c r="Z79" i="1"/>
  <c r="Z39" i="1"/>
  <c r="Z23" i="1"/>
  <c r="Z22" i="1"/>
  <c r="Z21" i="1"/>
  <c r="Z20" i="1"/>
  <c r="Z19" i="1"/>
  <c r="Z18" i="1" l="1"/>
  <c r="Z16" i="1"/>
  <c r="I5" i="3" s="1"/>
  <c r="Z15" i="1" l="1"/>
  <c r="Z14" i="1"/>
  <c r="G7" i="3" s="1"/>
  <c r="Z13" i="1"/>
  <c r="Z10" i="1"/>
  <c r="Z307" i="1"/>
  <c r="Z317" i="1"/>
  <c r="Z316" i="1"/>
  <c r="Z283" i="1"/>
  <c r="Z282" i="1"/>
  <c r="Z252" i="1"/>
  <c r="Z249" i="1"/>
  <c r="Z235" i="1"/>
  <c r="Z233" i="1"/>
  <c r="Z229" i="1"/>
  <c r="Z217" i="1"/>
  <c r="Z220" i="1"/>
  <c r="Z219" i="1"/>
  <c r="Z211" i="1"/>
  <c r="Z196" i="1"/>
  <c r="Z199" i="1"/>
  <c r="Z184" i="1"/>
  <c r="Z167" i="1"/>
  <c r="Z149" i="1"/>
  <c r="Z135" i="1"/>
  <c r="Z127" i="1"/>
  <c r="Z123" i="1"/>
  <c r="Z118" i="1" l="1"/>
  <c r="Z100" i="1"/>
  <c r="Z96" i="1"/>
  <c r="Z90" i="1"/>
  <c r="Z93" i="1"/>
  <c r="Z81" i="1"/>
  <c r="Z87" i="1"/>
  <c r="Z66" i="1"/>
  <c r="Z69" i="1"/>
  <c r="Z63" i="1"/>
  <c r="Z60" i="1"/>
  <c r="Z59" i="1"/>
  <c r="Z53" i="1"/>
  <c r="Z46" i="1"/>
  <c r="I7" i="3" l="1"/>
  <c r="J7" i="3" s="1"/>
  <c r="K7" i="3" s="1"/>
  <c r="Z41" i="1"/>
  <c r="Z33" i="1"/>
  <c r="Z32" i="1"/>
  <c r="Z28" i="1"/>
  <c r="Z24" i="1"/>
  <c r="Z17" i="1" l="1"/>
  <c r="Z308" i="1"/>
  <c r="Z301" i="1"/>
  <c r="G2" i="3" s="1"/>
  <c r="Z287" i="1"/>
  <c r="Z247" i="1"/>
  <c r="Z240" i="1"/>
  <c r="Z214" i="1"/>
  <c r="Z190" i="1"/>
  <c r="Z189" i="1"/>
  <c r="F5" i="6" s="1"/>
  <c r="Z174" i="1"/>
  <c r="Z173" i="1"/>
  <c r="G4" i="3" s="1"/>
  <c r="Z172" i="1"/>
  <c r="Z150" i="1"/>
  <c r="Z146" i="1"/>
  <c r="Z137" i="1"/>
  <c r="Z132" i="1"/>
  <c r="Z124" i="1"/>
  <c r="Z109" i="1"/>
  <c r="Z111" i="1"/>
  <c r="Z86" i="1"/>
  <c r="Z85" i="1"/>
  <c r="Z82" i="1"/>
  <c r="Z89" i="1"/>
  <c r="Z75" i="1"/>
  <c r="Z73" i="1"/>
  <c r="Z72" i="1"/>
  <c r="Z50" i="1"/>
  <c r="Z49" i="1"/>
  <c r="Z44" i="1"/>
  <c r="Z11" i="1"/>
  <c r="I4" i="6" l="1"/>
  <c r="AS9" i="3"/>
  <c r="AR9" i="3"/>
  <c r="AR7" i="3"/>
  <c r="AT9" i="3"/>
  <c r="AT7" i="3"/>
  <c r="AT5" i="3"/>
  <c r="AP9" i="3"/>
  <c r="AP7" i="3"/>
  <c r="AP5" i="3"/>
  <c r="AT8" i="3"/>
  <c r="AR5" i="3"/>
  <c r="AP8" i="3"/>
  <c r="AS7" i="3"/>
  <c r="AU7" i="3"/>
  <c r="AU5" i="3"/>
  <c r="AQ7" i="3"/>
  <c r="AS8" i="3"/>
  <c r="AS6" i="3"/>
  <c r="AU8" i="3"/>
  <c r="AU6" i="3"/>
  <c r="AS5" i="3"/>
  <c r="AQ8" i="3"/>
  <c r="AQ6" i="3"/>
  <c r="AR6" i="3"/>
  <c r="AT6" i="3"/>
  <c r="AP6" i="3"/>
  <c r="AU9" i="3"/>
  <c r="AQ9" i="3"/>
  <c r="AQ5" i="3"/>
  <c r="AR8" i="3"/>
  <c r="AP4" i="3"/>
  <c r="AO4" i="3"/>
  <c r="AT4" i="3"/>
  <c r="AR4" i="3"/>
  <c r="G6" i="3"/>
  <c r="R7" i="3"/>
  <c r="U7" i="3"/>
  <c r="Q7" i="3"/>
  <c r="T7" i="3"/>
  <c r="P7" i="3"/>
  <c r="S7" i="3"/>
  <c r="O7" i="3"/>
  <c r="U10" i="3"/>
  <c r="S10" i="3"/>
  <c r="Q10" i="3"/>
  <c r="O10" i="3"/>
  <c r="T10" i="3"/>
  <c r="R10" i="3"/>
  <c r="P10" i="3"/>
  <c r="G5" i="3"/>
  <c r="J5" i="3" s="1"/>
  <c r="K5" i="3" s="1"/>
  <c r="I6" i="3"/>
  <c r="I4" i="3"/>
  <c r="J4" i="3" s="1"/>
  <c r="K4" i="3" s="1"/>
  <c r="P5" i="3"/>
  <c r="O5" i="3"/>
  <c r="U5" i="3"/>
  <c r="T5" i="3"/>
  <c r="S5" i="3"/>
  <c r="R5" i="3"/>
  <c r="Q5" i="3"/>
  <c r="I2" i="3"/>
  <c r="J2" i="3" s="1"/>
  <c r="K2" i="3" s="1"/>
  <c r="G3" i="3"/>
  <c r="J3" i="3" s="1"/>
  <c r="K3" i="3" s="1"/>
  <c r="T9" i="3"/>
  <c r="R9" i="3"/>
  <c r="P9" i="3"/>
  <c r="AO8" i="3"/>
  <c r="AO6" i="3"/>
  <c r="U9" i="3"/>
  <c r="S9" i="3"/>
  <c r="Q9" i="3"/>
  <c r="O9" i="3"/>
  <c r="AO9" i="3"/>
  <c r="AO7" i="3"/>
  <c r="AO5" i="3"/>
  <c r="AO3" i="3"/>
  <c r="S8" i="3"/>
  <c r="R8" i="3"/>
  <c r="Q8" i="3"/>
  <c r="P8" i="3"/>
  <c r="O8" i="3"/>
  <c r="U8" i="3"/>
  <c r="T8" i="3"/>
  <c r="S6" i="3"/>
  <c r="O6" i="3"/>
  <c r="R6" i="3"/>
  <c r="U6" i="3"/>
  <c r="Q6" i="3"/>
  <c r="T6" i="3"/>
  <c r="P6" i="3"/>
  <c r="U4" i="3"/>
  <c r="T4" i="3"/>
  <c r="S4" i="3"/>
  <c r="R4" i="3"/>
  <c r="Q4" i="3"/>
  <c r="P4" i="3"/>
  <c r="O4" i="3"/>
  <c r="G5" i="6"/>
  <c r="E5" i="6"/>
  <c r="H5" i="6"/>
  <c r="D9" i="6"/>
  <c r="D4" i="6"/>
  <c r="D5" i="6"/>
  <c r="C5" i="6"/>
  <c r="C3" i="6"/>
  <c r="E3" i="6"/>
  <c r="G3" i="6"/>
  <c r="I3" i="6"/>
  <c r="H3" i="6"/>
  <c r="D3" i="6"/>
  <c r="F3" i="6"/>
  <c r="F6" i="6"/>
  <c r="E6" i="6"/>
  <c r="C9" i="6"/>
  <c r="F9" i="6"/>
  <c r="F4" i="6"/>
  <c r="H8" i="6"/>
  <c r="D8" i="6"/>
  <c r="G8" i="6"/>
  <c r="C8" i="6"/>
  <c r="F8" i="6"/>
  <c r="I8" i="6"/>
  <c r="E8" i="6"/>
  <c r="E7" i="6"/>
  <c r="F7" i="6"/>
  <c r="H7" i="6"/>
  <c r="C7" i="6"/>
  <c r="G7" i="6"/>
  <c r="D7" i="6"/>
  <c r="I7" i="6"/>
  <c r="H6" i="6"/>
  <c r="D6" i="6"/>
  <c r="G6" i="6"/>
  <c r="C6" i="6"/>
  <c r="I6" i="6"/>
  <c r="I5" i="6"/>
  <c r="C4" i="6"/>
  <c r="G4" i="6"/>
  <c r="I9" i="6"/>
  <c r="H4" i="6"/>
  <c r="G9" i="6"/>
  <c r="E9" i="6"/>
  <c r="E4" i="6"/>
  <c r="H9" i="6"/>
  <c r="AD6" i="3"/>
  <c r="AD3" i="3"/>
  <c r="AD5" i="3"/>
  <c r="AA3" i="3"/>
  <c r="AD4" i="3"/>
  <c r="V10" i="3" l="1"/>
  <c r="AO10" i="3"/>
  <c r="V4" i="3"/>
  <c r="V6" i="3"/>
  <c r="V9" i="3"/>
  <c r="V7" i="3"/>
  <c r="V8" i="3"/>
  <c r="V5" i="3"/>
  <c r="J6" i="3"/>
  <c r="K6" i="3" s="1"/>
  <c r="Y4" i="3"/>
  <c r="X4" i="3"/>
  <c r="Z4" i="3"/>
</calcChain>
</file>

<file path=xl/sharedStrings.xml><?xml version="1.0" encoding="utf-8"?>
<sst xmlns="http://schemas.openxmlformats.org/spreadsheetml/2006/main" count="8177" uniqueCount="1231">
  <si>
    <t>Project</t>
  </si>
  <si>
    <t>Description</t>
  </si>
  <si>
    <t>Categories</t>
  </si>
  <si>
    <t>TRB Subjects</t>
  </si>
  <si>
    <t>Systems Planning</t>
  </si>
  <si>
    <t>Programming</t>
  </si>
  <si>
    <t>Project Development</t>
  </si>
  <si>
    <t>Construction</t>
  </si>
  <si>
    <t>Operations</t>
  </si>
  <si>
    <t>Maintenance</t>
  </si>
  <si>
    <t>Primary Category</t>
  </si>
  <si>
    <t>Secondary Category</t>
  </si>
  <si>
    <t>TRB Subject</t>
  </si>
  <si>
    <t>Administration and Management</t>
  </si>
  <si>
    <t>Aviation</t>
  </si>
  <si>
    <t>Bridges and other structures</t>
  </si>
  <si>
    <t>Data and Information Technology</t>
  </si>
  <si>
    <t>Design</t>
  </si>
  <si>
    <t>Economics</t>
  </si>
  <si>
    <t>Education and Training</t>
  </si>
  <si>
    <t>Energy</t>
  </si>
  <si>
    <t>Environment</t>
  </si>
  <si>
    <t>Finance</t>
  </si>
  <si>
    <t>Freight Transportation</t>
  </si>
  <si>
    <t>Geotechnology</t>
  </si>
  <si>
    <t>Highways</t>
  </si>
  <si>
    <t>History</t>
  </si>
  <si>
    <t>Hydraulics and Hydrology</t>
  </si>
  <si>
    <t>Law</t>
  </si>
  <si>
    <t>Maintenance and Preservation</t>
  </si>
  <si>
    <t>Marine Transportation</t>
  </si>
  <si>
    <t>Materials</t>
  </si>
  <si>
    <t>Motor Carriers</t>
  </si>
  <si>
    <t>Operations and Traffic Management</t>
  </si>
  <si>
    <t>Passenger Transportation</t>
  </si>
  <si>
    <t>Pavements</t>
  </si>
  <si>
    <t>Pedestrians and Bicyclists</t>
  </si>
  <si>
    <t>Pipelines</t>
  </si>
  <si>
    <t>Planning and Forecasting</t>
  </si>
  <si>
    <t>Policy</t>
  </si>
  <si>
    <t>Public Transportation</t>
  </si>
  <si>
    <t>Railroads</t>
  </si>
  <si>
    <t>Research</t>
  </si>
  <si>
    <t>Safety and Human Factors</t>
  </si>
  <si>
    <t>Security and Emergencies</t>
  </si>
  <si>
    <t>Society</t>
  </si>
  <si>
    <t>Terminals and Facilities</t>
  </si>
  <si>
    <t>Transportation (General)</t>
  </si>
  <si>
    <t>Vehicles and Equipment</t>
  </si>
  <si>
    <t>Date Posted</t>
  </si>
  <si>
    <t>Sponsoring Committee</t>
  </si>
  <si>
    <t>Link</t>
  </si>
  <si>
    <t>Search Term</t>
  </si>
  <si>
    <t>Search Terms</t>
  </si>
  <si>
    <t>Sustainable</t>
  </si>
  <si>
    <t>Sustainability</t>
  </si>
  <si>
    <t>Equity</t>
  </si>
  <si>
    <t>Sust. Topic</t>
  </si>
  <si>
    <t>Sustainability Topic</t>
  </si>
  <si>
    <t xml:space="preserve">Standards </t>
  </si>
  <si>
    <t>Noise</t>
  </si>
  <si>
    <t>Land Use</t>
  </si>
  <si>
    <t>Emissions and Waste</t>
  </si>
  <si>
    <t>Renewable Resources</t>
  </si>
  <si>
    <t>Non-renewable Resources</t>
  </si>
  <si>
    <t xml:space="preserve">Energy </t>
  </si>
  <si>
    <t xml:space="preserve">Recycling </t>
  </si>
  <si>
    <t>Access</t>
  </si>
  <si>
    <t>Safety</t>
  </si>
  <si>
    <t>Intragenerational Equity</t>
  </si>
  <si>
    <t>Intergenerational Equity</t>
  </si>
  <si>
    <t>Affordability</t>
  </si>
  <si>
    <t>Efficiency</t>
  </si>
  <si>
    <t>Social Cost</t>
  </si>
  <si>
    <t>Employment</t>
  </si>
  <si>
    <t>Health/Environmental Damage</t>
  </si>
  <si>
    <t>http://rns.trb.org/dproject.asp?n=31683</t>
  </si>
  <si>
    <t>Information Clearinghouse for Utilities</t>
  </si>
  <si>
    <t>The amount of utility-related resources and literature available to assist utility stakeholders in performing their duties continues to increase.  However, there is currently no information clearinghouse that allows practitioners to easily exchange or otherwise access a wide array of utility-related resources.  For example, if an agency wishes to learn how much detail other agencies require on permit forms for utility installations, the search can be time consuming, and critical information can be missed. Many stakeholders would benefit greatly from a national clearinghouse that stores and organizes utility-related resources.  A critical first step is to prepare a plan for developing and operating this information clearinghouse.  The plan should answer questions such as: which organizations should be involved, how to get started, what should be the implementation timeline, how much it will cost, and what strategies should be put in place to ensure the long-term sustainability of the information clearinghouse.
The purpose of this research is to develop a master plan for the implementation of a national clearinghouse for utility information.  Specific objectives follow:Identify the organizations to be involved (e.g., FHWA, AASHTO, APWA, IRWA, DBIA, the utility industry, and academia);
·         Conduct a survey of stakeholders and practitioners to help characterize the purpose, content, and structure of a national clearinghouse for utility information;
·         Investigate a sample of successful information clearinghouses in transportation, and identify key features;
·         Develop and test a prototype architecture for a web-based information clearinghouse;
·         Prepare an implementation plan that includes items such as start-up and annual costs, potential funding sources, maintenance responsibilities, sources of information, staff requirements, warehousing needs, and information exchange protocols;
·         Prepare a report containing findings and recommendations.</t>
  </si>
  <si>
    <t>AFB70, Utilities</t>
  </si>
  <si>
    <t>Long-Term Trends and Critical Issues Impacting Regional Transportation Systems Management &amp; Operations</t>
  </si>
  <si>
    <t>http://rns.trb.org/dproject.asp?n=28398</t>
  </si>
  <si>
    <t>Currently, transportation related activities are being affected by regional and global phenomena. It is unclear how these events might influence regional transportation management and operations, especially from the perspective of strategic planning, decision-making, and interaction with elected officials.  Several major societal/global events have occurred in recent years that affect transportation.   These events should be reflected in the collective thinking of the management and operations community we move forward with regional transportation management and operations initiatives.  In June 2010, the TRB Technical Activities Council (TAC) held a group discussion to help identify the long-term trends and potential issues that may affect, or be affected by transportation and what these might mean for the future of TRB and other transportation organizations.    A list of problems, trends, and issues (see Attachment A) were raised concerning transportation as a whole; however, it is apparent that almost all have the potential to impact Regional Transportation System Management and Operations either directly or indirectly.  These problems, trends, and issues are in the areas of policy, funding &amp; finance, institutions, workforce, demographics, planning, data, safety and security, infrastructure, freight, energy and climate change, environment, economics, and technology.</t>
  </si>
  <si>
    <t>AHB10, Regional Transportation Systems Management and Operations</t>
  </si>
  <si>
    <t>Research Program to Develop a Sustainable Decision Making Tool for Transportation Applications Based on Life Cycle Assessment</t>
  </si>
  <si>
    <t>http://rns.trb.org/dproject.asp?n=27908</t>
  </si>
  <si>
    <t>AFH30, Emerging Technology for Design and Construction</t>
  </si>
  <si>
    <t>Research Program to Compile Life Cycle Inventories for Nano Additives Used in Asphalt and Concrete Construction</t>
  </si>
  <si>
    <t>http://rns.trb.org/dproject.asp?n=27907</t>
  </si>
  <si>
    <t>Seismically Induced Earth Pressures for LRFD Seismic Design of Retaining Structures</t>
  </si>
  <si>
    <t>http://rns.trb.org/dproject.asp?n=26862</t>
  </si>
  <si>
    <t>AFF50, Seismic Design and Performance of Bridges</t>
  </si>
  <si>
    <t>Ridesharing as a Complement to Transit</t>
  </si>
  <si>
    <t>http://rns.trb.org/dproject.asp?n=26730</t>
  </si>
  <si>
    <t>Transit and carpooling/vanpooling (ridesharing) can be powerful allies – especially if leveraged together creatively. By embracing ridesharing, transit agencies have been seen to expand their market base, as well as enhance transit operations. Ridesharing can supplement transit services in the high-cost peak period, can serve marginal routes that are costly for transit, and can increase the justification for HOV designations that serve transit as well. If ridesharing and transit alternatives are packaged together, they can attract an even larger market share, displacing the single occupant auto in a growing number of metropolitan areas. At the same time some transit agencies seem reluctant to get into ridesharing.  For the transit agencies that are already very active in ridesharing: How do they do it? How does it affect their cost structure? What is the full potential? What if transit/ridesharing incentives and information were integrated and offered to the public through popular social networking media? How much farther could the transit network be expanded in metro areas if ridesharing was considered an extension of transit service? Could ridesharing be a substitute for regular transit services? Might individuals consider selling a second car or postponing a purchase after integrating ridesharing and transit services into their lifestyle? What energy and environmental benefits might accrue over time?  In the next 20 years, population is expected to grow almost 1% per year, and even more in metropolitan areas. Absorbing this growth into transit would require over 10% per year compound growth in transit over the first decade. It is unrealistic to expect transit to absorb this increased demand, leading to more congestion and frustration for individuals and businesses. Transit risks being seen as falling short – but could be seen as an even more important part of the solution if transit allies itself with ridesharing and increases the services that it offers – and the alternatives it offers to single-occupant vehicle travel.  It is proposed that a synthesis be prepared that gathers information from transit agencies that incorporate ridesharing, and those that do not, and from non-transit agencies that operate ridesharing services, to understand the perspectives of the relevant operators with regard to ridesharing as a complementary solution to transit for handling travel demand. Ridesharing in this case should include the broad spectrum of carpool and vanpool formation typologies including formal flexible carpooling (reference the Washington State Flexible Carpooling Pilot project), informal flexible carpooling (slug-lines and casual carpooling), traditional carpooling and vanpooling, dynamic ridesharing, and so on. The proposed project should explore examples of the integration or interface between ridesharing and the rest of the transit system and identify situations where ridesharing is operating synergistically with transit, and as much as possible capture the essence of best practice in this field.</t>
  </si>
  <si>
    <t>AHB35, High-Occupancy Vehicle, High-Occupancy Toll, and Managed Lanes</t>
  </si>
  <si>
    <t>Development and Validation of an Optimal Stress Relief Layer for Unbonded Concrete Overlays</t>
  </si>
  <si>
    <t>http://rns.trb.org/dproject.asp?n=26609</t>
  </si>
  <si>
    <t xml:space="preserve">Concrete overlays in conjunction with a bituminous interlayer have been used as early as 1913. More recently unbonded overlays (UBOLs) have been used in many states over the last 30 years, generally with reports of varying degrees of performance. In Minnesota, some of the earliest documented use of concrete overlays was on TH 12 east of St. Paul in 1955. In this project, a 5-inch thick, 24-foot wide PCC layer was placed over a sand seal and on TH 169 under SP5209-22 between Saint Peter and Le Seur when in 1967 a 6-inch thick, 24-foot wide PCC overlay was placed over a 0.1-mm polyethylene sheet (bond breaker). However, the first true unbonded overlay was constructed as a research test section, 0.64 miles long on the northbound portion of TH 71, and the first complete unbonded overlay project was constructed on TH 212 in Glencoe in 2002. Jointed plain concrete pavements (JPCPs) UBOLs are typically designed as new rigid pavements on a rigid base assuming an unbonded condition between the layers. consequently, the overlay thickness can be determined using an established design procedure for new concrete pavements. Further research that considers the effects of the interlayer and the underlying pavement may reduce the overlay thickness.  Ubiquity of trials of various materials for the interlayer accentuates the limited understanding of practitioners as to what this layer should do. Due to the term “Unbonded,” some misconstrue unbonded overlay to imply a layer that will break the bond between the concrete substrate and the overlay. On the contrary, a certain amount of friction is required between the overlay and the interlayer; otherwise, the joints would not deploy properly as exemplified on one of Minnesota’s first interlayer projects, which led to stricter joint depth sawing requirements of t/3 instead of t/4 as an interim solution. An unbonded overlay refers to a Portland Cement concrete (PCC) overlay placed on an existing distressed PCC pavement. The two PCC slabs are separated by an interlayer, typically 1 in HMA that serves the purpose of relaxing built up stresses so that reflective cracks cannot propagate upward. (Schematic figure 1)   However, where the stress relief system has been understood some of its expectations have not been met. These expectations include and are by no means limited to restoration of ride quality, restoration, or improvement of structural capacity and extension of service life of the pavement structure. This form of rehabilitation is considerably less expensive than total reconstruction and has been successfully used in many states, especially in Minnesota and Iowa. The major drawback of this rehabilitation alternative is bridge clearance, as a reduction of 10 inch or more is common.   The stress relief layer is the most critical element in an unbonded overlay design as it provides a shear plane that minimizes reflective cracks propagation and prevents mechanical interlocking between the two pavement structures. Minnesota’s use of a 1 in. thick permeable asphalt stabilized stress relief course (PASSRC) has been found to provide good performance. However, in some projects, widespread stripping has been observed due to inadequate interlayer design. This material if properly designed and installed will improve Unbonded overlay systems. Another problem is that with the recent transition to thin unbonded overlays, there are questions as to the adequate thickness and mix design of a PASSRC system.  Although the interlayer may reduces the stresses induced through dynamic and environmental strain such as traffic loadings and slab warp/curl, the underlying rigid pavement is much stiffer than traditional base materials which may compromise its’ ability to relieve built up stresses. In addition, the relaxation properties of the HMA interlayer change significantly with temperature, behaving more rigid during winter periods. It has been shown that this interlayer can reduce the slab warp/curl of the underlying existing pavement as the temperature differential is decreased significantly due to the increased insulation from the sun.      According to NCHRP Report No. 415, the interlayer properties should be such that they fulfill the following goals: separate the pavements, maintain a sufficient bonding and friction (between the new and existing PCC slabs) so that joints can form in the new overlay, provide for a level-up layer, and be cost-effective. The authors note that the most successful interlayer system is an HMA layer at least 1 inch thick. 
 </t>
  </si>
  <si>
    <t>Carbon Footprint of Supply Chains</t>
  </si>
  <si>
    <t>http://rns.trb.org/dproject.asp?n=25871</t>
  </si>
  <si>
    <t>Problem: Supply chains are designed for the processing, staging, and carriage of goods to market. Design choices are determined by sourcing decisions, production and competitive requirements, logistical economies, product characteristics, land uses and values, construction and input costs, multiple technologies, infrastructure networks, and still other influences. Choices have material consequences for greenhouse gas (GHG) emissions, and render aspects of them variable or fixed for periods of time. Many companies have made carbon footprint measurements for their individual supply chains, just as many freight operators have measured their particular contributions. Nevertheless, lacking is systematic research into the overall carbon footprint of supply chains for key industrial sectors of the economy, first for assessment of their relative GHG impacts and the gains available from improvement, and second for estimation of the comparative consequence of supply chain designs and components.  This research would perform case studies of at least five multimodal supply chains, representative of major segments of national economic activity. The study would seek cooperation of industry to identify mutually beneficial strategies for the public and private sectors. Each study will develop calculations of the total GHG emissions of the chain and provide an accounting of component elements, including consideration of energy efficiency. It would particularly highlight the transportation components of the supply chains where significant improvements may be made. Cross-sector comparisons then will be prepared for the set of studies, analyzing the reasons for differences and their susceptibility to change, and identifying carbon reduction opportunities.  Objective
The objective is improved understanding of a) the GHG emission profiles of major supply chains in the national economy; b) the primary contributors to those profiles; and c) the opportunities and obstacles toward improvement.</t>
  </si>
  <si>
    <t>A0020T, Special Task Force on Climate Change and Energy</t>
  </si>
  <si>
    <t xml:space="preserve">http://rns.trb.org/dproject.asp?n=25861 </t>
  </si>
  <si>
    <t>Quantify and Incorporate Environmental Benefits into Life Cycle Costing Models for Common Roadway Construction Practices</t>
  </si>
  <si>
    <t>Problem: Common roadway construction practices impact our environment. Impacts to streams and rivers have been monitored and are considered in the design and construction process. Efforts have been made to reduce other impacts of roadway construction such as dust, noise and emissions. However, the benefits of reducing each of these environmental impacts have not been measured. There is no readily available means of evaluating roadway construction practices that are more environmentally sound than conventional construction practices. Development of a baseline for environmental impacts is required in order to measure and quantify the benefits of impact reduction.  Sustainable pavement practices include reusing and recycling materials to construct roads that remain safe and durable while reducing emissions, energy use, and waste. With quantifiable environmental benefits, new technologies that support sustainable pavement practices can be measured. The measured benefits provide the most value when incorporated into a decision support tool for the selection of new roadway construction and rehabilitation alternatives.  The decision support tool is life cycle costing. Many pavement life cycle cost models focus on the economic aspect of the alternatives, but fail to consider the social and environmental impacts. There is a need to develop a more comprehensive life cycle costing model to evaluate the relative costs and environmental benefits of the material and processes used.   In order to effectively guide decisions on pavement alternative selections to improve environmental performance, it is essential to develop research on quantifying and incorporating the environmental benefits associated with road building into the current life cycle costing models.</t>
  </si>
  <si>
    <t>Assessing the Impact of Leakage on the Effectiveness of a Low Carbon Fuel Standard</t>
  </si>
  <si>
    <t xml:space="preserve">http://rns.trb.org/dproject.asp?n=25852 </t>
  </si>
  <si>
    <t>Problem Statement: A low carbon fuel standard (LCFS) sets a target to reduce the greenhouse gas (GHG) intensity of transportation fuels. Fuel providers must reduce the GHG intensity of their fuels, measured on a lifecycle basis. Concerns for the leakage problem raise doubts about the effectiveness of the LCFS. There are at least two types of the leakage problems that can occur: first, regulated parties will have incentives to export high-carbon fuels to non-LCFS countries or not import high-carbon fuels. Thus, a national LCFS could limit the flow of high-carbon fuel, such as oil sands, into the U.S. But instead of reducing the consumption of high-carbon fuels globally, the majority of the oil sands exports might be diverted to elsewhere, such as to the Asian market. Thus the marginal benefit would be close to zero. Similar problems can also exist for other fuels such as high carbon bunker fuel and aviation fuel. Not only fuel providers can deliver high-carbon bunker fuel and aviation fuel to other markets, ships or airplanes can plan their fueling routes and refuel at ports or airports where high-carbon fuels are sold at lower price. The second type of leakage is the indirect land use change issue associated with the large-scale production of low-GHG biofuels. Indirect emissions occur when biofuels production on agricultural land displaces agricultural production and causes additional land-use change elsewhere that leads to an increase in net greenhouse gas emissions. Few studies have examined the impacts of leakage on the effectiveness of the LCFS.   Objective: Studies are needed to examine the type of conditions under which leakage may occur and the extent of leakage that could affect the effectiveness of a national LCFS. More robust assumptions and alternative scenarios will be needed to give a better picture of the impacts of a national LCFS on global oil and commodity markets and vice versa. The cost of mitigation options, such as the ability of companies to switch to low-GHG fuels, the cost of reducing the carbon intensity of high-carbon fuels and the potential for second generation biofuels to mitigate the competition for land that will be used to produce biofuels and the type of land (marginal vs. cropland) likely to be used for energy crop production at a county-specific level for the U.S. This research should also consider the potential for interstate and interregional leakage from the California Low Carbon Fuel Standard and the proposed Northeastern States Low Carbon Fuel standard.</t>
  </si>
  <si>
    <t xml:space="preserve">http://rns.trb.org/dproject.asp?n=25845 </t>
  </si>
  <si>
    <t>Assessing Direct and Indirect Lifecycle GHG Impacts of Advanced Fuels and Vehicles</t>
  </si>
  <si>
    <t xml:space="preserve">Problem Statement: Regulatory and market pressures are mounting that would encourage a transition of the ground transportation system toward advanced fuels and vehicles. In the US, EPA and NHTSA have begun a joint rulemaking process that coordinates GHG emission standards and Corporate Average Fuel Economy standards. The EU has committed to a 20 percent reduction in GHG emissions (relative to 1990 levels) by 2020. By 2020, Canada has committed to reduce GHGs by 20 per cent from their 2006 level and by 2050 expects to achieve a 60 to 70 per cent reduction over 2006. The American Clean Energy and Security Act has moved through the House of Representatives. It sets the goal of a 17 per cent reduction of greenhouse gases below 2005 levels by 2020. The latest Senate draft bill – Boxer-Kerry – would change that goal to a 20 per cent reduction. At the same time the EPA is developing regulatory proposals under the existing Clean Air Act.  Many countries are tightening regulation of vehicle fuel economy and greenhouse gas emissions. China announced in May 2009 that it would require automakers to improve fuel economy by an additional 18% by 2015; raising fuel economy to approximately 42 mpg. China has increased taxes on large engine vehicles (over four liters) to 40%, increased taxes on vehicles with engines between three and four liters to 25%, and decreased the tax on small engine vehicles (1-1.5 liters) to 1%. In April 2009, the EU adopted regulations requiring a reduction of CO2 emissions from new passenger cars from 159g/km (in 2006) to a maximum of 130g/km by 2015, corresponding to a fuel economy of 48.9 mpg. The EU also set a target for 2020 emissions of 95 g/km (subject to review prior to becoming a standard). Japan has set a fuel economy target of 48 mpg by 2010. Australia will increase fuel economy standards to 34.4 mpg by 2010. Most EU countries currently have carbon-emissions based taxes on cars, and those EU members that do not currently do so have committed to do so.  The challenge for research is to quantify the direct and indirect lifecycle GHG impacts of the advanced fuels and vehicles that will be necessary to meet these tightening automotive standards, and to determine whether they will, on net, contribute to total GHG emissions reductions from all sources. An assessment of direct impacts on lifecycle GHG emissions from a particular fuel or vehicle technology is complex, even assuming no change in upstream or downstream markets. Modeling impacts on prices and quantities in upstream and downstream markets is the key to assessing indirect impacts. For example, increasing the use of biofuels could shift agricultural production toward more GHG-intensive technologies for producing both biofuels and food.  Objective: This project will assess the direct and indirect technical and market channels through which advanced fuels and vehicle technologies are likely to affect overall GHG emissions.
    Review previous work in this area with particular attention to analysis by the US EPA of renewable fuels standards.
    Identify the upstream and downstream markets likely to be affected, and the likely qualitative impacts on them.
    Markets to include: agricultural products, electricity, fuel feed stocks (e.g., natural gas use by chemicals industry), automotive components and materials, fueling and road infrastructure, driver behavior and VMT, labor markets, investment markets
    Identify strengths and weaknesses of alternative modeling approaches; including CGE models, agent based models, and dynamic nonlinear systems models
    Quantify impacts of advanced fuels and vehicles in terms of life cycle (direct and indirect) GHG emissions and market costs of related/affected products and services.
    Quantitative assessment of key strategic alternatives; including a comprehensive sensitivity analysis of each model’s parameters
    Identify the parameters that are most important for further research. </t>
  </si>
  <si>
    <t>ANF10, Pedestrians</t>
  </si>
  <si>
    <t>Automated Pedestrian Safety Analysis Using Video Data</t>
  </si>
  <si>
    <t>Research problem statement: Road collisions are described as a global epidemic. The global number of road collision fatalities was approximately 1.3 million in 2004 [1] costing the global economy approximately $US 500 billion per year [2]. While non-motorized modes of travel are promoted as key alternatives for improving the sustainability of the transport system, they suffer an elevated risk of collision involvement. This exceptional risk level comes from the fact that main non-motorized modes such as biking and walking are performed by the most physically vulnerable of road users. Collisions involving non-motorized traffic often produce severe injuries. Each year in the United States, approximately 5,000 pedestrians are killed in traffic crashes, accounting for approximately 11% of all traffic fatality victims [3]. Approximately 22% of fatal road collisions in Canada and 30% in British Columbia involve vulnerable road users, 13% and 15% of which are pedestrians, respectively [4].  Traffic safety analysis has traditionally relied on historical collision data. However, there are several shortcomings to this approach [5]: 1. Traffic collisions are rare and random events that usually require extended observation times, usually in the order of years, and sophisticated statistical techniques. Moreover, many extraneous factors can change during the observation period, further complicating the analysis. 2. Collision-based safety analysis is a reactive approach, which means that a significant number of collisions must be reported before an action is taken.
3. There are well-known concerns with the quantity and quality of collision data. Collision data reporting is often incomplete, inconsistently reported by different jurisdiction. These shortcomings are even more pronounced in the case of pedestrian-involved collisions. For example, collisions involving pedestrians are less frequent than other collision types. Pedestrians, being vulnerable road users, when involved in collisions, have considerably higher chances of being severely injured, with little chance of the collision being classified as property-damage-only. Exposure data, commonly measured using pedestrian volume, is expensive to collect and represents a common challenge for safety diagnosis and evaluation of pedestrian treatment. As issues of urban sustainability and energy supply have become increasingly important to the public and policy makers, researchers, planners and practitioners in the field of transportation engineering are placing more emphasis on improving the mobility and safety of pedestrians. Developing reliable, validated, and automatically collected proactive safety measures will offer a valuable tool in safety diagnosis and evaluation of pedestrian treatments.   Research Objective: Shortcomings in the current practice can be addressed by meeting the following objectives:
1. Develop an automated system for extracting pedestrian and vehicle trajectories in a traffic scene. Process automation will enable the processing of large data thus providing more ground for comparison.
2. Identify shortcomings in current conflict indicators in comprehending pedestrian-vehicle conflicts and proposing improvements. There are some fundamental problems in the use and definition of existing conflict indicators. Many of these problems arise due to inconsistent and simple definition of what constitute an evasive action, when it is commenced, and the extrapolation hypotheses of road users.
3. Develop improved conflict indicators.
4. Collect data. Collection of video data at locations and in contexts that enable the application and validation of the video analysis system
5. Investigate the relationship of conflict indicators with pedestrian-involved collisions. This research will result cost-effective technologies that State DOTs can use to analyze and identify high-risk situations for pedestrians at particular locations.</t>
  </si>
  <si>
    <t>A Platform for the Simulation of Pedestrians</t>
  </si>
  <si>
    <t xml:space="preserve">http://rns.trb.org/dproject.asp?n=24818 </t>
  </si>
  <si>
    <t xml:space="preserve">Research Problem Description and Context: Walking is a key non-motorized mode of travel and a vital component of most trips. Many research programs aim to reduce traffic emissions by promoting less polluting forms of transportation such as walking and cycling. Developing a better understanding of pedestrian movement is vital for improving the design methods of non-motorized and sustainable modes of travel. Pedestrians also sustain the highest share of fatal road collisions among non-motorized modes of travel. Non-motorized modes of travel are receiving more emphasis in transportation engineering as issues of urban sustainability and energy supply are coming to the fore of the public and policy makers. However these modes of travel, and walking in particular, have traditionally received research and practice focus secondary to motorized modes.  Simulation models have been used for a long time to simulate the behavior of road users within a predefined road network and are used to predict the likely impact of changes in traffic patterns resulting from changes to traffic flow or from changes to the physical environment. Applications of pedestrian simulation include modeling pedestrians facilities and evaluating their level of service, as well as the safety of pedestrians (road safety and emergency situations).  In the research literature, various models for pedestrians have been developed ( Helbing 1995, Still 2000, Kerridge 2001, Daamen 2004, Teknomo 2006, Antonini 2006), and a few commercial software offerings are available (Crowd Dynamics, VISSIM (PTV 2004), SIMWALK). Yet there is no widely-recognized model for walking behavior that emerged from validation and cross-comparison studies. In fact, model validation is seldom done at a level comparable to motorized traffic. Only recently has validation been conducted at microscopic level based on limited video sequence of pedestrian movement (Robin 2009). Cross-comparison of developed simulation models is challenging due to the lack of freely available software implementations of the models and platforms. This research aims at addressing this issue by developing such a platform under an open source license.  Objective: The objective of this project is to develop a tool that enables the comparative evaluation of microsimulation models of pedestrian movements in an urban context. To achieve this objective, this project proposes to develop a simulation platform that can run various movement models of autonomous virtual entities, in particular pedestrians.  One of the first criteria for the use of the platform is to be available under an open source license, as defined by the Open Source Initiative (OSI), that would offer the following advantages (taken from (Sonnenburg 2007)):
1.      reproducibility of scientific results and fair comparison of algorithms;
2.      uncovering problems;
3.      building on existing resources (rather than re-implementing them);
4.      access to scientific tools without cease;
5.      combination of advances;
6.      faster adoption of methods in different disciplines and in industry; and
7.      collaborative emergence of standards.
These advantages would make such a platform all the more attractive for the research community, in industry and the academic world. The following benefits are of particular interest to the project:
·         the unified definition of standards for input (environment and model description) and output data for pedestrian simulations
·         the potential sharing of datasets
·         the initiation of discussions about evaluation methods of pedestrian models leading to the development of common indicators for this purpose
·         the comparison and benchmark of pedestrian behavior models
·         more insights into the process of model development and validation
It is noteworthy that the objective of the project is to develop a platform to evaluate pedestrian models, but not the simulation models to be evaluated. The latter will be contributed by the research community. </t>
  </si>
  <si>
    <t>AHD65, Winter Maintenance</t>
  </si>
  <si>
    <t>Winter Road Maintenance Research Roadmap</t>
  </si>
  <si>
    <t xml:space="preserve">http://rns.trb.org/dproject.asp?n=22202 </t>
  </si>
  <si>
    <t xml:space="preserve">I. RESEARCH PROBLEM STATEMENT: During the past decade or two since the completion of the winter maintenance operations portion of the Strategic Highway Research Program (SHRP) and the subsequent field test and evaluation (TE-28) by the Federal Highway Administration, there have been major improvements in winter maintenance operations. This is the joint outcome of improved understanding of the science underlying the snow and ice control, more accurate/reliable/timely road weather forecasts, and enhanced technologies/material/systems, which facilitated best practices such as the shift to more proactive approaches (e.g., anti-icing). As techniques are being adopted into practice, research and implementation continues in areas such as advanced remote measurements systems and innovative winter road surface treatment techniques.
Before, during, and after winter storms, winter maintenance activities allow for the safe and effective movement of people and goods. Significant investments in winter maintenance research have been made in the United States and other countries, reflecting the importance of this crosscutting subject and its tremendous economic and safety implications. There are multiple consortiums, pooled funds and existing programs to facilitate the coordination of such research, including: Clear Roads, Pacific Northwest Snowfighters Association, Aurora, MDSS Pooled Fund, AASHTO SICOP, TRB, FHWA, and others. The first National Winter Maintenance Peer Exchange was held in 2007 and the second one is to be held in 2009, which provides a mechanism for practitioners to exchange information on best practices and near-term challenges and research needs. However there is still the need to develop a master plan or roadmap to identify the knowledge gaps in winter road maintenance research and to provide guidance for researchers and practitioners on mid-term and long-term challenges and solutions.
By 2025, social and environmental changes will affect the demand for winter maintenance or constrain the way in which it is carried out. The future needs will be determined in part by: 
• Winter weather conditions. Scientists project changing temperatures and levels of precipitation, altering the characteristics of snowfall (duration, timing, frequency, type). How will winter operations need to change to accommodate those changing conditions?
• Demand for clear roads in winter. How will the ratio between passenger cars, buses, trucks, bicycles, and pedestrians change compared to now, and how sensitive will the industrial economy be to just-in-time delivery?
• Economic sustainability. Will we have a similar proportion of government revenues to what we have now to spend on winter operations?
• Environmental sustainability. Will there be restrictions on the use of road salts or winter abrasives? How will we manage contaminated highway runoff? Will diesel emissions from snow plows be restricted?
It is important to bring the various stakeholders such as policy makers, winter maintenance managers, materials and equipment suppliers, researchers, and inventors together and start some guided discussions and brainstorming sessions, the end result of which will be integrated into a research roadmap. The focus will be on the future needs. Once needs are understood, the technologies, materials, or processes that can fill the needs will be reviewed. In addition to a sense of direction, such a roadmap will provide a prioritization of research needs (e.g., in staffing, practices, materials, equipment, and systems) and a timeline for addressing various issues in order to meet the winter operations needs of the road system of 2025. Finally, this systematic approach will maximize the return of investment in winter road maintenance research by minimizing redundancy and ensuring transferability of research results.  II. RESEARCH OBJECTIVE:  The objectives of this roadmap are to establish near, medium, and long-term research components affecting winter road maintenance and to establish a timeline and milestones for research in the next 5 to 15 years. This research is more visionary than existing programs and will focus on the bigger picture.  
Current research areas include proactive treatment, staff considerations, performance measures, funding and efficiency, data and voice communications, outreach, technology transfer/education, operational processes, materials and equipment, information dissemination, road weather, blowing snow mitigation, enhanced measurement technology, hybrid surface treatment, friction-based decision making, and environmental impacts. Future winter operations will need to accommodate a society with an aging population, loss of workforce, possibly more extreme weather conditions, changing fuels, computer/communications technology advancements, limited budgets, and projected increase in travel by all modes including biking, walking, transit, and driving. This roadmap will develop a direction to help the community prepare for these changes. The roadmap will include the following components:  1. Briefly describe the nature and scope of winter maintenance issues and general economic, safety, and environmental impacts.
2. Characterize the current state of research, including status of ongoing activities internationally and in the United States from the Federal Highway Administration (FHWA), Clear Roads, Aurora, Pacific Northwest Snowfighters (PNS), Snow and Ice Pooled Fund Cooperative Program (SICOP), and the Winter Maintenance Peer Exchange.
3. Project the surface transportation context today, in 2015, and in 2025. Work with the winter maintenance community and people with relevant knowledge from outside the community to determine the impacts on winter operations for the medium, and long-term context. Discuss how the projected changing climate will affect the staffing, practices, materials, equipment, and systems.
4. Identify gaps in the knowledge base needed to support winter maintenance for the near and long term and recommend research areas to increase effectiveness and efficiency of winter operations.
5. Provide a forecast of emerging technologies that may be applied to fill the gaps.
6. Discuss how research can be designed so it clearly supports operations and leads most efficiently to practical applications and discuss the scientific and technical feasibility.
The expected outcome is a roadmap that is accessible and understandable to policy makers at the federal and state levels with details and direction for the winter maintenance community. The intended audiences are the winter maintenance researchers, inventors, policy makers, managers, materials and equipment suppliers. </t>
  </si>
  <si>
    <t>AFS80, Cementitious Stabilization</t>
  </si>
  <si>
    <t xml:space="preserve">http://rns.trb.org/dproject.asp?n=21282 </t>
  </si>
  <si>
    <t>Environmental Characterization of Coal Fly Ash for Use in Pavement Structures</t>
  </si>
  <si>
    <t>Research Problem Statement: Coal fly ash is widely used by itself, mixed with soils and/or as a component in cementitiously stabilized materials for subgrade, subbase and base layers of flexible and rigid pavement structures. The research is necessary to better understand how the properties of existing and new types of fly ash correlate with the performance of the pavements in which they are used under the prevailing environmental conditions. In particular, documented (EPRI 2006) time-dependent changes in fly ash mineralogy and morphology will be studied across environmental parameters of moisture, temperature and leachability.  This will provide information on how the type and magnitude of these changes are linked to the proportioning of ash, soil and other materials. The proposed research is an important complement to NCHRP Project 04-36 which focuses on characterizing cementitiously stabilized layers relative to pavement performance and is designed to be included into the AASHTO Interim Mechanistic-Empirical Pavement Design Guide Manual of Practice (MEPDG) developed under NCHRP Project 01-37A.  Research Objective: The objective of this research is to develop performance based practice to characterize fly ash stabilized/modified layers in a pavement system as a function of thermal, hydraulic and chemical gradients.  Data generated from this research is expected to improve the accuracy of the Enhanced Integrated Climatic Model (EICM), the one-dimensional coupled heat and moisture flow model used in the MEPDG.</t>
  </si>
  <si>
    <t>AFH50, Portland Cement Concrete Pavement Constructio</t>
  </si>
  <si>
    <t>Problem Statement MD 1.5. Integrating Recycled Materials into PCC Construction</t>
  </si>
  <si>
    <t xml:space="preserve">http://rns.trb.org/dproject.asp?n=20637 </t>
  </si>
  <si>
    <t xml:space="preserve">Previous studies have demonstrated that recycled concrete and other recycled materials can be used in new concrete mixtures successfully, as long as the effects of using recycled materials in the mixture are compared to the effects of using virgin materials. This study will build on that work, determining innovative ways to use recycled materials in portland cement concrete (PCC) pavements. Because sustainability is being emphasized increasingly in the United States and abroad, identifying creative uses for recycled materials will sustain and likely extend their desirability. </t>
  </si>
  <si>
    <t>AP020, New Public Transportation Systems and Technology</t>
  </si>
  <si>
    <t>Next Steps for Car-Sharing: Strategies, Challenges, and Impacts</t>
  </si>
  <si>
    <t xml:space="preserve">http://rns.trb.org/dproject.asp?n=19046 </t>
  </si>
  <si>
    <t xml:space="preserve">In the past eight years, transit agencies from Seattle to Washington, DC have partnered with car-sharing operators with the goals of improving station access, increasing ridership, and providing wider mobility options for customers. TCRP Report 108, Car-Sharing: Where and How it Succeeds provided a comprehensive overview of the development of car-sharing, the geographic and demographic markets where it succeeds, and the impacts on vehicle ownership and travel behavior. It has proved valuable not only to transit agency staff but also to other partners such as local governments, universities, and developers.  While the report concluded that car-sharing overall has a strong role in reducing vehicle travel and boosting transit ridership, it provided little data on the mobility impacts of key submarkets where transit and urban planners need specific information. For example, agency staff often needs to know the impacts of car-sharing on access mode share, on parking demand in joint development projects, and on travel behavior for welfare-to-work recipients. Sustainable development requirements also bring new needs for standardized indicators revealing how each mode of travel can help in reducing negative impacts (environment, pollution, car ownership) and facilitating travel for all populations segments (increasing access to a flexible mode of travel).   Since the TCRP Report 108 was published in 2005, some systems have experienced impressive increases in terms of members and available cars and stations. With these new numbers, car-sharing organizations are facing new challenges and need to develop methods and tools as advanced as those available for transit and traffic modeling to manage this growth and experiencing alternative types of services. Moreover, competition between car-sharing suppliers is arising in new areas, generating needs to better assess this transportation supply and integrate it with existing transit networks. Again, in the current quest for sustainable alternatives, transit agencies as well as urban planners need more guidance and understanding with respect to car-sharing supply, impact on individual and collective travel behavior and interaction between networks and modes to increase overall accessibility. In addition, transit agencies have expressed interest in helping extend the sharing concept to bicycles and low-speed electric vehicles (for example, to improve mobility for seniors).   Anticipated products would include: •    A website to provide a “clearinghouse” for car-sharing impacts data (the need for which was documented in TCRP Report 108);
•    Guidance with respect to the gathering of data to assess the car-sharing markets and estimate performance indicators of the systems;
•    Guidance on how to estimate car-sharing impacts for specific submarkets
•    business members
•    car-sharing vehicles at transit stations
•    car-sharing vehicles incorporated into development projects
•    low-income, elderly and other population segments
•    welfare-to-work recipients; and
•    Guidance on how to estimate the contribution of car-sharing on attaining a more sustainable transport system, namely with respect to accessibility (equity) and environment (VMT and car ownership).  </t>
  </si>
  <si>
    <t>Airport Ownership Analysis for Public-Use Airports</t>
  </si>
  <si>
    <t xml:space="preserve">http://rns.trb.org/dproject.asp?n=18561 </t>
  </si>
  <si>
    <t>Research Problem Statement: The public-use airports in the United States are all unique to their locations, local industry and populations, and their ownership models.  There are several different ownership models: state agencies, municipalities, counties, authorities, private enterprise (an individual or a company), or a combination thereof.  Time and time again, airport ownership status comes into question. This study should evaluate the differences of each of the possible ownership models so that airport owners, communities and state legislators will have information necessary to make informed decisions on the future of the airport. 
As part of the analysis it will be interesting to note what form of ownership consistently yields the best results for an airport in terms of growth and sustainability.   Use of real case studies would be helpful in providing a full understanding of airport ownership. 
In a nation where airports are closed daily, could there be a direct relationship between airport ownership, airport sustainability and airport life expectancy?     
III.       Objective
Objectives of this research include an analysis of the advantages and disadvantages of each form of ownership of a public-use airport; including, but not limited to, state, municipality, authority and private.  A final summary should describe clear differences so that airport owners and decision makers at the local, state and federal levels can make decisions in the best interest of the airports and the communities that depend on them.</t>
  </si>
  <si>
    <t>AV020, Aviation System Planning</t>
  </si>
  <si>
    <t>AP060, Paratransit</t>
  </si>
  <si>
    <t>Maximizing Benefits and Addressing Challenges of Volunteer Driver Transportation Programs</t>
  </si>
  <si>
    <t xml:space="preserve">http://rns.trb.org/dproject.asp?n=15380 </t>
  </si>
  <si>
    <t>RESEARCH PROBLEM STATEMENT: Since the mid to late 1970s, the use of volunteers, and particularly volunteer drivers, has become an increasingly popular strategy to accommodate the unmet mobility needs of seniors and, to a certain extent, other transportation-disadvantaged people. This is particularly the case in rural areas where more traditional transit and paratransit strategies are cost prohibitive. Formalized volunteer driver programs have become a staple for many transit and human service agencies, sometimes as a stand-alone program or as one component of a broad array of transportation services. In the last decade, organizations dedicated to the delivery of services to seniors or others solely through volunteer drivers have been formed throughout the United States. The Beverly Foundation, for example, has a database of almost 400 volunteer driver programs reflecting a variety of program models. Examples of different models include:
TRIP Volunteer Friends model in Riverside, CA
Ride Connection volunteer driver and brokerage program organized by Tri-Met in Portland, OR
YCCAC paratransit service in York County, ME, that includes a volunteer driver program
Caregiver program in West Austin, TX, organized by an interfaith community and linked to seven programs in the Greater Austin area
Independent Transportation Network in Portland, ME
These particular examples have budgets that range from $65,000 to $5,000,000 and provide service in a wide variety of settings including urban, suburban, and rural locations. They also have stood the test of time, averaging more than 18 years of operation. States have also recognized the value of volunteer driver transportation services. For example, volunteer drivers are used extensively by the coordinated community transportation providers in Vermont, in large part due to a statewide insurance policy that covers volunteer drivers. And the state of Maryland has recently initiated a grant program to fund public, private and faith-based organizations with volunteer transportation services for low- and moderate-income seniors.
The role of volunteer-based services is one of many important strategies to serve seniors, people with disabilities and those with low incomes. For many customers, the provision of such services can make the difference between mobility and immobility by enabling them to reach both life-sustaining and quality-of-life destinations. Volunteer drivers often can provide a much higher level of assistance and a “personal touch” absent from other modes. For transit agencies, and particularly public transportation providers in rural areas, volunteer drivers can provide a cost-effective way to service remote areas and make crucial longer distance trips to medical centers or dialysis facilities. Indeed, using a volunteer driver is often the only practical way to serve such trips. In all areas, senior centers, churches and faith-based organizations, and other human service agencies rely on volunteers to get seniors and others to agency programs and services, food shopping, religious services, and personal activities such as banking, lifelong learning, and personal shopping. Moreover, with a growing need and limited resources for senior transportation funding, volunteer driver programs present a cost-efficient resource to senior and community transportation service delivery networks.
We often hear about the success stories at the expense of learning from those that did not succeed. Indeed, the difference between success and lack of success can be traced to many factors such as volunteer driver recruitment and retention strategies, requirements for driver screening and insurance coverage, driver training, driver reimbursement and subsidies, drug and alcohol policies, provision of and maintaining vehicles, vehicle safety and management practices, among many others.  Furthermore, although recently retired seniors comprise the vast majority of volunteer drivers, insurance and tax issues, as well as safety concerns, can deter the recruitment and utilization of many older volunteers. Clearly, research on the national level is needed to identify the factors which contribute to the success of volunteer driver programs in different settings. Beyond that, additional research is needed to determine the community benefits of such programs. The areas that have proved problematic for the programs, such as insurance, also need research.  The following questions are central to this proposed research:
In what settings are volunteer driver programs meeting unmet needs and filling gaps as an alternative or supplement to other service modes in transportation networks?
Where, when, and in what ways do volunteer driver programs complement or compete with public and/or private operators; and, in what settings might such programs hinder the growth of public or private providers?
Why do certain volunteer driver programs succeed and why do others not? Are there common factors for success or lack of success? What operational characteristics are central to successful programs and what elements of the program enhance a program’s long-term sustainability?
What additional metrics beyond those commonly used for demand-response transportation are currently used and should be used to measure the success of volunteer driver programs?
 OBJECTIVE:
National research is needed to identify:
The optimal role of volunteer drivers for organizations that are responsible for providing/purchasing transportation; and where and when and for which types of trips such benefits and shortcomings materialize;
The settings where volunteer driver programs complement vs. compete with other transportation providers;
The role of insurance as a major impediment to volunteer drivers programs,
Best practice methods, policies and procedures, program elements, operational characteristics, and models in various settings that will help transit agencies and other organizations address the inherent challenges of using volunteer drivers and help increase the likelihood of program success;
The best methods and metrics to measure program success.</t>
  </si>
  <si>
    <t>AV030, Environmental Impacts of Aviation</t>
  </si>
  <si>
    <t>GHG Inventory as Part of a Sustainability Program</t>
  </si>
  <si>
    <t xml:space="preserve">http://rns.trb.org/dproject.asp?n=15235 </t>
  </si>
  <si>
    <t>Currently, airports develop Greenhouse Gas (GHG) inventories largely through voluntary means. One of the reasons for developing such inventories could be as part of sustainability programs. Potentially, GHG inventories could be used to help quantify and keep track of reductions in fuel use and emissions in order to promote the continued viability of various airport operations. Also, as further scrutiny is placed on GHG emissions, airports could take advantage of programs they have already implemented to receive credits for GHG reductions. Indeed, there may be reductions in GHG emissions that are already occurring through sustainability programs that airports have not fully realized. The goal of this project is to determine how an airport could develop GHG inventories as part of its sustainability program. The project could help airports identify the different components of sustainability programs that could be promoted in reducing both fuel use and GHG emissions.</t>
  </si>
  <si>
    <t>INM and EDMS Model Validation and Verification</t>
  </si>
  <si>
    <t xml:space="preserve">http://rns.trb.org/dproject.asp?n=15234 </t>
  </si>
  <si>
    <t>Many airport programs require the use of INM and EDMS to provide accurate noise contours and emissions or concentration predictions.  Significant decisions related to airport growth, sustainability, etc. are made or can hinge on these results. But currently, there are very few indications of how accurate these models are. Validation and uncertainty studies have been few and far between. Although FAA is actively pursuing a better understanding of the uncertainties of the modeling components within their new initiative, AEDT, the resources they've expended (or plan to expend) are very little. Much more work needs to be done so that airports and consultants can actually see error bars around noise contour lines and both +/- values around emissions and concentrations.</t>
  </si>
  <si>
    <t>AT030, Agricultural Transportation</t>
  </si>
  <si>
    <t xml:space="preserve">Problem: An emerging public policy issue that will likely have significant and potentially far-reaching impacts is the growing interest in and use of renewable and bio-fuels. The goal of reducing U.S. dependence on foreign energy sources while promoting domestically produced renewable fuels such as ethanol and bio-diesel have considerable impacts on agricultural/food markets, rural communities, the environment and transportation systems/infrastructure. The benefits and success of these renewable fuels in the marketplace depends on a long list of dynamic uncertainties that can dramatically alter economic viability and long-term sustainability, including transportation efficiency (both into and out of processing facilities). Investment in ethanol processing plants throughout the Midwest U.S. has already increased farm-gate corn prices and land allocated to corn production as grain producers respond to market prices, leading to increased cost of production for livestock/meat producers who utilize corn/soybean as inputs and decreased economic viability for ethanol plants that developed production/processing expectations with lower input prices. This is particularly complicated when considering the net energy use/utilization and air pollution aspects for ethanol when compared with fossil fuels, including all production, transportation, processing, distribution and passenger vehicle consumption.
The movement toward alternative fuels is occurring at a time when agriculture producers are increasingly reliant on multimodal freight transportation efficiencies to access and compete in global markets and appropriate investment in rural road and transportation infrastructure maintenance is critical. As a result, many research questions arise regarding how the adoption of alternative fuel technology, resultant crop production pattern shifts, private investment in transportation equipment/facilities to ship renewable/bio-fuel, and how different types of bio-fuel subsidies will impact the freight transportation system and the agricultural/food markets that rely upon this system.   
Objective:
Identify the extent and magnitude of how adoption of alternative fuels will impact:
·          Agricultural/food production patterns and product movements
·          Investment in equipment/facilities to ship/move alternative fuels
·          Multimodal freight system efficiency
·          Modal shifts and traffic pattern changes and the resultant impact on the rural road highway infrastructure and investment/maintenance of rural road planning/finance.
·          Environmental and air quality changes as a result of these shifts in production, processing, distribution and consumption.
 </t>
  </si>
  <si>
    <t>Alternative Fuels, Multimodal Freight Transportation Access/Efficiency and Infrastructure Investment Needs</t>
  </si>
  <si>
    <t xml:space="preserve">http://rns.trb.org/dproject.asp?n=14300 </t>
  </si>
  <si>
    <t>ADC80, Alternative Transportation Fuels</t>
  </si>
  <si>
    <t>Analyzing the Sustainability of Various Alternative Fuels and Advanced Technology Vehicles in Selected Niche Vehicle Markets</t>
  </si>
  <si>
    <t xml:space="preserve">http://rns.trb.org/dproject.asp?n=14290 </t>
  </si>
  <si>
    <t>This research should address the numerous technology and market opportunities and barriers for the use of specialized vehicle markets as introductory markets and “launching pads” for alternative fuel and advanced technology vehicles including the following. 1. A comprehensive identification and characterization of vehicle market segments that are being considered as first applications for alternative fuels, advanced conventional fuels, and advanced vehicle technologies. This should include the number and type of vehicle sales; quantity of fuel consumed; costs; the type and level of subsidy; suitability of vehicle and fuel characteristics to specialized market; and distinction between light-, medium-, and heavy-duty applications.
2. An assessment of manufacturer willingness to develop, manufacture, sell, and service various alternative fuels and advanced vehicle technologies to a niche market over an extended period of time. What factors change the willingness to sustain presence in the niche market?
3. As assessment of fuel provider willingness to establish and maintain a fuel infrastructure and produce, distribute, and sell various fuels to these markets. What factors change the willingness to sustain presence in their market?4. The capacity of specialized markets to absorb one or more new fuels and vehicle technologies simultaneously on a sustainable basis. What factors change the capacity of fleets or consumers in these markets to create sustainable demand? How does competition within these markets affect this capacity? 5. H
6. An assessment of the potential for various specialized markets to serve as launching pads for the broader use of alternative fuels and vehicle technologies. What are the factors that increase this potential? Are some fuels and technologies suitable only for these markets?
7. The energy and environmental impacts of sustainable specialty markets taken alone or collectively, and under various scenarios where niche markets serve as a critical launching pad for fuels and vehicles to enter the mass market.
8. A summary of the conclusions about the characteristics of these successful markets should be prepared on h</t>
  </si>
  <si>
    <t>CSS and Sustainability in Transportation</t>
  </si>
  <si>
    <t xml:space="preserve">http://rns.trb.org/dproject.asp?n=14153 </t>
  </si>
  <si>
    <t xml:space="preserve">This research would focus on defining sustainable transport including understanding how to evaluate transportation options across all issues of sustainability including economic, environmental and equity.  A synthesis of current practice along with national and international best practices could identify effective methods of analysis as well as gaps. </t>
  </si>
  <si>
    <t>AFB50T, Task Force on Context Sensitive Design/Solutions (CSD/CSS)</t>
  </si>
  <si>
    <t>ABE40, Critical Transportation Infrastructure Protection</t>
  </si>
  <si>
    <t>Catastrophic Transportation Emergency Management Guidebook</t>
  </si>
  <si>
    <t xml:space="preserve">http://rns.trb.org/dproject.asp?n=13920 </t>
  </si>
  <si>
    <t>RESEARCH PROBLEM STATEMENT: Catastrophic emergencies – whether terrorist attacks or natural disasters – transcend geographic borders and organizational boundaries.  Both September 11th and Hurricane Katrina exposed a myriad of issues, especially the need to better integrate the shared responsibilities of government, military, the private sector, and the public.  Further, these catastrophes raised expectations to be better prepared and not repeat past mistakes.
Within transportation, the ability to prepare for and respond to catastrophic emergencies holds added significance because of the role the system plays in delivering needed resources to render aid and limit further damage.  For example, in an influenza pandemic or a biological attack, the transportation system must deliver needed pharmaceuticals and medical supplies to hospitals, medical centers, and dispensary points at the right time and in the right amounts.  In addition, information is needed to help decision-makers effectively manage the transportation system in order to limit the spread of disease while ensuring the movement of goods, supplies, and resources.
Yet, the ever-increasing complexity, coupled with growing budget constraints, requires a fundamentally new approach to address catastrophes, especially those that are global in nature such as pandemics.  All organizations, including transportation, need to approach this complexity with a full integration of strategy, management, operations, people, and technology – integrating not just systems, but mission and information, within a “mega-community” of common purpose and unity of effort.  Stove-piped solutions can no longer be considered sufficient or effective.
The nexus between public health preparedness and transportation has not been sufficiently studied or understood when it comes to catastrophic emergencies, requiring further research, analysis, and guidance to address gaps and shortfalls and to promote best practices that will work within the transportation infrastructure.
OBJECTIVE:
The objective of this research is the development of a reference that synthesizes best practices for preparing for and responding to catastrophic emergencies, especially pandemics and provides guidance for translating these practices into existing transportation emergency management programs.  The reference and the guidance will address: modeling to make informed decisions on transportation and border restrictions; screening measures to detect the disease; quarantining and isolating travelers; managing the trade and movement of cargo; communicating with transportation owners, operators, and users; sustaining the transportation infrastructure; and recovering the transportation infrastructure.</t>
  </si>
  <si>
    <t>AP010, Transit Management and Performance</t>
  </si>
  <si>
    <t>Innovative Applications of Sustainability Performance Measures for Transit Planning</t>
  </si>
  <si>
    <t xml:space="preserve">http://rns.trb.org/dproject.asp?n=13868 </t>
  </si>
  <si>
    <t>There is a long and successful history of TRB and other research on performance measures for management and operations planning of public transit. Transit operators have applied this research and now routinely measure a broad range of performance, from service effectiveness (e.g., load factor), efficiency (e.g., cost per hour or mile), operational performance (e.g., speed or schedule adherence), to effectiveness (e.g., fare box return or cost per passenger). Transit operators use these and similar measures to set performance targets and evaluate progress, in peer comparisons, and in benchmarking to identify opportunities to improve performance. To support these established applications, transit systems collect and have access to 25 years of current and historic data from all transit operators through the uniform system of accounts and records established by FTA and the industry in the National Transit Database.  This research focuses on different challenges in applications of transit performance measures. Although there may be broad support in concept when transit operators and advocates assert that transit is good for the environment, improves mobility for low-income communities, or contributes to livable, healthy, or economically viable communities, transit struggles to demonstrate credibly what it can actually contribute to these and other broad societal goals. Federal legislation in the Safe, Accountable, Flexible, Efficient Transportation Equity Act: A Legacy for Users (SAFETEA-LU) requires metropolitan areas to develop an intermodal planning process that begins with a 20-year strategic plan with needs, goals, and problems to be resolved through transportation investments and strategies. On the funding side, TEA-21 encourages a level playing ground where planning agencies have the flexibility to shift federal funds to invest in modes that best solve the priority problems identified through the metropolitan planning process.
Whether the goals at issue are for air quality, energy conservation, reduction of greenhouse gas emissions, improvement of health through physical activity, social equity, or broad sustainability combining multiple goals, transit must have credible performance measures to direct service toward these goals, to demonstrate how transit contributes to solving related problems, and to compete for funds and public support. Transit agencies must have access to a broad range of performance measures, and be proficient in their use not only to plan their own service, but also to participate collaboratively with statewide, metropolitan area, and local agencies in their planning processes. To compete fairly with automobile and other modes for shared resources, transit agencies must use performance measures that demonstrate transits contribution to a broad range of sustainability goals.
RESEARCH OBJECTIVE:
This research would develop insights, recommendations, and performance measurement tools to improve transit planning and participation in metropolitan transportation planning. More directly, the research would increase transit ridership and improve transits contribution to quality of life goals. Products would include development of a conceptual basis and framework for sustainability performance measures for transit; an annotated inventory of applicable sustainability measures; case studies of state-of-the-practice applications by U.S. and international public transit systems, with lessons learned; and recommendations for implementing new types of performance measures.</t>
  </si>
  <si>
    <t>Establishing Performance-Based Criteria for Concrete Pavements</t>
  </si>
  <si>
    <t xml:space="preserve">http://rns.trb.org/dproject.asp?n=13099 </t>
  </si>
  <si>
    <t>I. Research Problem Statement  
Many concrete highways are deteriorating prematurely and, often, old pavements are performing better than the new. The problem, need, and future direction to overcome today's long-term concrete durability problems were defined during a 1995 workshop at the National Institute of Standards and Technology (NIST) to discuss "Cement and Concrete Standards of the Future." The attending North American concrete industry leaders concluded, "concrete durability and how it affects the long-term serviceability of a structure is not adequately covered in current codes and standards" and "meeting a strength requirement does not necessarily assure that a concrete will be durable in a specific environment." These conclusions cause question of effectiveness of traditional planning, specification, and quality assurance. Without new knowledge, will TEA-21 construction perform better than that currently experiencing performance problems?
The attendees also pointed out that future standards should be "performance-based" to cover the "important performance attributes required to assure adequate field performance." They added that to achieve these goals, among other factors, "research is needed to establish performance criteria including modeling of material performance."
II. Research Objective
The objective is to develop a method to identify, evaluate, and quantify the qualities of old concrete pavements that are performing beyond expectations and develop performance-based models for future construction. Many pavements cast using locally available materials and exposed in the real-world service environments have been in service for 40 or more years. The question to be answered by research is "Why did they perform as they did and how can the characteristics of that concrete construction be quantified, improved upon, and used as a reference for the future?" Investigators must identify pavements, examine archived records, sample, test, and quantify their characteristics. It is not suggested that new tests be developed as the appropriate petrography and tests exist. The old concretes were cast with portland cement, sand, stone, and water. Those are still the primary mix ingredients. Only the characteristics of the portland cement have been changed so that factor must be evaluated along with the modern alternatives such as including the use of supplementary cementitious materials and/or construction chemicals. One alternative is to recommend reversal of the change in portland cement done in the early 1970s to increase early strength to accelerate slab form removal for building construction to reduce the cost of interim finance to private developers.</t>
  </si>
  <si>
    <t>AFN10, Basic Research and Emerging Technologies Related to Concrete</t>
  </si>
  <si>
    <t>AHD35, Bridge Management</t>
  </si>
  <si>
    <t>Bridge Life-Cycle Cost Analysis Synthesis of Practice</t>
  </si>
  <si>
    <t xml:space="preserve">http://rns.trb.org/dproject.asp?n=12754 </t>
  </si>
  <si>
    <t>Scope: The use of bridge life cycle cost analysis (LCCA) as an efficient decision support tool is important for the sustainability of bridge infrastructure. There has been a substantial amount of research done on bridge life cycle cost analysis (BLCCA). Some of the recent efforts include the NCHRP Report-483 [1] which presents a comprehensive procedure for life-cycle cost analysis of bridges with explicit introduction of vulnerability and uncertainty in the analysis. There has also been work done in reliability-based life-cycle management of bridges [2]. However, there is a gap between LCCA state of practice and state of the art. As such, there is a need to carry out a detailed survey specifically for bridge LCCA to identify the magnitude of the gap between state of practice and state of the art, and the root causes.
It is herein proposed that a synthesis be prepared to gather information on current practice and policies for bridge LCCA and related research. This would include, but not limited to:
    literature search including online sources
    surveying the state DOTs and local agencies
    interviewing selected agencies
    identifying problem areas that created the gap between research and practice
    identifying the barriers of BLCCA implementation at agencies that have BMS
    identifying the needs of agencies and the resources they have for bridge LCCA (personnel, resources and time)
The synthesis would be valuable to researchers, practitioners and policy makers in the area of bridge LCCA. By identifying the nature of the gap between state of practice and state of the art, it is expected that the synthesis would assist practitioners and researchers to address such gaps. The synthesis would also be useful to future researchers wanting to develop consistent guidelines and standards and more implementable BLCCA methods.</t>
  </si>
  <si>
    <t>AFP70, Mineral Aggregates</t>
  </si>
  <si>
    <t>I. Problem Constructability and long-term performance of concrete pavements are influenced by the characteristics and physical properties of the aggregates used. Economy of minimizing costs and sustainability objectives to lower energy and CO2 expenditures are better served if locally-available, durable aggregates can be used â€“ even if some of the individual aggregate sizes do not meet grading or physical properties specifications. Recent trends in concrete pavement specifications are to consider combined grading and blending of all aggregate materials in the mixture â€“ and even sometimes to consider the cement and supplementary cementitious material (SCM) particles as part of the combined grading in the P200 range. In concrete â€œmixture designâ€ â€“ the mixture characteristics required for the pavement application are developed, usually without reference to the particular aggregate sources that will be used. The mixture design may include a nominal maximum aggregate size and some constraints on the grading. There is a need to allow more leeway in arriving at an overall blend and grading of aggregate sizes (and different materials or minerals or recycled materials where appropriate) to meet needed performance requirements while optimizing the use of the materials at hand. There is also a need to move away from prescriptive requirements that discourage the consideration of local materials and innovation. In some cases, limits are placed on certain aggregate characteristics (such as grading, particle shape, mineral content, etc.) that prevent or constrain the use of locally available aggregates. They should be allowed if an acceptable blend can be used or it can be shown that performance requirements for the concrete will be satisfied. The next step â€“ usually done by the contractor or concrete producer â€“ is to develop the â€œmixture proportionsâ€ by analyzing and trial batching with different combinations of available materials to meet the mixture design, other performance requirements, and also to optimize the construction process and long-term performance â€“ using available resources. The actual blending of aggregate sources or types to meet specifications is part of normal operations in many areas, yet possibly controversial in other areas. As more end-result Performance Related Specifications (PRS) are used, it is critical that the aggregate portion of all mixtures be optimized while best using all available resources. Guidance as to what would be considered best practice, and which methods should be avoided, needs to be established in order for specifying agencies to best attain the quality and performance in a sustainable way. II. Objective The objective of this study is to develop methods to optimize design and proportioning of concrete paving mixtures based on the physical properties of the available aggregates to maintain or improve the economy and sustainability of pavement performance. The goal is to also develop guidelines for the blending of aggregate to meet PRS and address the means required to blend various aggregate materials to meet specified objectives such as: performance (frictional properties); beneficiation of marginal materials or their use as a blend with other aggregates; control of deleterious components or reactions; and meeting volumetric or density properties. Deliverables from this project will allow the use of aggregates with wide ranges of physical characteristics in the design and proportioning of hydraulic cement concrete pavement mixtures. The research objective can be achieved through the following tasks: 1. Literature Search: Review existing aggregate blending specifications and techniques, and methods of optimizing proportions for concrete pavement through combined aggregate grading. 2. Survey: Solicit feedback on practices used in the construction industry to accomplish blending and that allow aggregate blending to meet physical and/or mechanical properties. 3. Best Practices Summary: Summarize the literature search and survey information in a best practice guideline that addresses critical questions â€“ How do you identify an aggregate that does not meet specification requirements as a good candidate for blending to improve characteristics or performance? When is it acceptable to blend a marginal material into a high quality material? What blending techniques are recommended? 4. Aggregate Classification: Identify and characterize aggregates with a wide range of physical characteristics (grading, mineralogy, shape, angularity, and texture). 5. Initial Mixture Alternatives: Design and proportion hydraulic cement concrete mixtures according to the current nationally accepted requirements and using other blending and proportioning methods. 6. Performance Measurements: Document the performance of different aggregate blends in concrete, using laboratory performance tests and accelerated loading tests of the concrete slabs. 7. Revised Mixture Alternatives: Adjust the aggregate blends and mix proportions based on aggregate properties and demonstrate the influence of these adjustments on performance improvements. 8. Adaptability Guide: Develop guidelines for adaptable mixture design and proportioning methods for concrete pavements. 9. Cost Benefit Guide: Provide a deliverable that will help identify the potential payoff to specifying agencies in terms of aggregate resources, quality, and environmental objectives. 10. PRS Guide: Identify potential methods for performance prediction and performance specification approaches that may apply.</t>
  </si>
  <si>
    <t>Optimizing Aggregate Blends in Concrete Pavements for Improved Performance</t>
  </si>
  <si>
    <t xml:space="preserve">http://rns.trb.org/dproject.asp?n=12594 </t>
  </si>
  <si>
    <r>
      <t xml:space="preserve">In development of the </t>
    </r>
    <r>
      <rPr>
        <i/>
        <sz val="11"/>
        <color theme="1"/>
        <rFont val="Calibri"/>
        <family val="2"/>
        <scheme val="minor"/>
      </rPr>
      <t xml:space="preserve">AASHTO LRFD Bridge Design Specifications </t>
    </r>
    <r>
      <rPr>
        <sz val="11"/>
        <color theme="1"/>
        <rFont val="Calibri"/>
        <family val="2"/>
        <scheme val="minor"/>
      </rPr>
      <t xml:space="preserve">as well as the </t>
    </r>
    <r>
      <rPr>
        <i/>
        <sz val="11"/>
        <color theme="1"/>
        <rFont val="Calibri"/>
        <family val="2"/>
        <scheme val="minor"/>
      </rPr>
      <t xml:space="preserve">AASHTO Guide Specifications for LRFD Seismic Bridge Design </t>
    </r>
    <r>
      <rPr>
        <sz val="11"/>
        <color theme="1"/>
        <rFont val="Calibri"/>
        <family val="2"/>
        <scheme val="minor"/>
      </rPr>
      <t>(SGS), several unresolved issues associated with the design of earth retaining structures have been identified. The most critical of these unresolved issues are the distribution and magnitude of the seismic earth pressure behind walls that are restrained in their ability to move laterally. There also remains uncertainty regarding seismic earth pressure behind free standing walls that have ability to move laterally during seismic loading. The resolution of these issues is essential to safe and economical seismic design. However, these issues cannot be resolved with the existing knowledge base. Therefore, research is needed to provide a sound basis for these aspects of the seismic design of Earth Retaining Structures (ERS). The results of this work will be useful to design engineers for all types of bridge abutment walls and free standing earth retaining structures in AASHTO Seismic Design Categories C and D, the two highest seismic design categories. It will also provide information on static earth pressures behind restrained wall systems that will be useful to bridge designers in all parts of the country.</t>
    </r>
  </si>
  <si>
    <t>Hybrid Box Culvert - Using Optimized Cement-Fiber Reinforced Polymer Composites</t>
  </si>
  <si>
    <t xml:space="preserve">http://rns.trb.org/dproject.asp?n=29387 </t>
  </si>
  <si>
    <t xml:space="preserve">RESEARCH PROBLEM STATEMENT: Some of the greatest concrete innovations today are focused on creating new mixes. Hybrid Box Culvert project is initiated by interest in sustainable development and new environment regulations on waste disposal. Supplementary Cementitious Materials (SCM) and Fibers are part of the picture, redirecting industrial byproducts from landfills and supplying concrete with greatest durability, strength, and performance. 
Name a design challenge, and there is a concrete mix with SCMs and Fibers that can solve it. Recent research evaluated the behavior of concrete made with SCMs such as fly ash and ground granulated blast-furnace slag (GGBFS) and Fibers under a variety of conditions. Correlations were found among the source and proportion of the SCMs and Fibers for curing conditions, concrete set time, strength development, and cracking potential.
There are several structural Fibers that are available in the market place, but to name a few that are promising for the research and development are as follows: Polypropylene( structural –fibrillated), Steel (low carbon), Glass (alkali resistant-with zirconium), Polyvinyl alcohol, Carbon, Cellulose and Nylon.
The addition of fly ash, GGBFS and other industrial byproducts to cement and Fibers in multiple combinations can improve concrete workability, durability and long-term strength, but a gap in knowledge exist about the variation in performance of concrete containing Scanning Electron Microscopy (SCM) and Fibers from various sources has limited its use by the producers.
Main thrust of this research needs shall be to address the basic realty of facts; they are, a) focus in obtaining light weight products b) reduction of cost in terms of cheaper, durable and safer products c) less cost up-front, lesser cost over the life of product and least cost in terms of public safety and legal cost.                                                         
Research needs to know the net effect of durability of hybrid box culvert structure if such a combination will result in the increased strength in terms of tensile property and molecular bond strength between the fibers and the cementitious matrix.  
To enhance the durability issues of hybrid box culvert, it is imperative that a research needs statement shall contain comprehensive fractography of the fracture surface.
The ready-to-use Hybrid Box Culvert structure will be in the form of light weight, durable, longer-lasting over the life of the product, resulting in lower fuel cost while transporting for project installation due to its light-weight characteristics. This hybrid box culvert structure may be used as a low maintenance bridge infrastructure/ appurtenance and will be utilized by public owner of federal, state and county transportation infrastructure system as well as private entities.  
RESEARCH OBJECTIVE:
This research will significantly aid in achieving the goals of the June 2005 Grand Challenges posted by the AASHTO Highway Subcommittee on Bridges and Structures.  The 7 Grand Challenges are:
1 - Extending Service Life
2 - Optimizing Structural Systems
3 - Accelerating Bridge Construction
4 - Advancing the AASHTO Specification
5 - Monitoring Bridge Condition
6 – Contributing to National Policy
7 – Managing Knowledge
Especially relevant to this research, as shown in the research description below, is the attempt to answer Grand Challenges 1, 2, 4, 5, 6, and 7. 
This research also addresses the Transportation Research Board’s “Critical Issues in Transportation”, 2009 Update, which lists the following nine (9) Critical and Cross-Cutting Issues:
        Congestion - increasingly congested facilities across all modes
        Energy, Environment, and Climate Change - extraordinary challenges
        Infrastructure - enormous, aging capital stock to maintain
        Finance - inadequate revenues
        Equity - burdens on the disadvantaged
        Emergency Preparedness, Response, and Mitigation - vulnerability to natural disasters and terrorist strikes
        Safety - insufficient improvement
        Institutions - 20th century institutions mismatched to 21st century missions
        Human and Intellectual Capital - inadequate investment in innovation
This research will especially address six (6) issues on Congestion, Energy and Environment, Infrastructure, Emergency Preparedness, and Safety. 
a) To evaluate elemental analysis of ductile composite materials requires setting up Scanning Electron Microscopy with Energy Dispersive X-rays (EDX).
b) To predict structural behavior of thin-ductile tension loaded structures requires testing setup and the equipment required to test it in a state-of-the-art testing laboratory.
c) To setup test methods for measuring fracture toughness. Additional tests are required to examine the comprehensive fractography of the fracture surface.
d) Set up Positron Annihilation Lifetime Spectroscopy (PALS) measurements to investigate the mechanical properties of mix
e) The mechanical properties of mix in question include among other things, are 1) tensile, 2) compression, 3) bending, 4) impact hardness, 5) distortion temperature and 6) glass transition temperature and their association with free volume.  
f) Certified manufacturing facility is required where the research product components are mixed and cast to mandated ASTM manufacturing and testing specifications.
g) Need to establish practical design guidance to effectively translate material performance to structural performance and set up appropriate protocol for inspection and test methods for quality control and quality assurance.                                                         
h) Establish the definition of Ductility ( Deformation or Energy Absorption).
i) Need to explore the cross section of the various combinations of mix, including the use of multiple fibers combination in the cementitious matrix to determine “weak links” in the ensuing comparison of mix.
j) Determine net effect of increased tensile strength over time, increase in ductile interfacial micro-structure, increase in molecular bond strength between fiber and matrix, reduce the micro-hardness, mechanical behavior and strain-hardening response while arresting the formation of calcium hydroxide in the cementitious matrix. </t>
  </si>
  <si>
    <t>AFF70, Culverts and Hydraulic Structures</t>
  </si>
  <si>
    <t>Sustainability Score</t>
  </si>
  <si>
    <t>Economy</t>
  </si>
  <si>
    <t>Total</t>
  </si>
  <si>
    <t>Methods to Optimize Source Allocation and Field Evaluation of Construction Aggregates</t>
  </si>
  <si>
    <t xml:space="preserve">http://rns.trb.org/dproject.asp?n=29367 </t>
  </si>
  <si>
    <t xml:space="preserve">I. Problem
Construction aggregates make up more than 80 percent of the total aggregates market, and are used mainly for road base, riprap, cement concrete, and asphalt. As the transportation infrastructure continues to age and grow, the need for repairs, reconstruction and new construction grows, and the demand for aggregates expands. Nevertheless, high quality aggregate materials are becoming increasingly scarce and expensive in many parts of the country because gravel mines and rock quarries are being lost to other land uses. These aggregate materials are classified for use and placed in quantities based on specifications and testing techniques that are not always linked to the application of the aggregate resource. Though the traditional procedures and current specifications have been adequate and have generally produced long lasting roads, there is likely significant opportunity for better value to be achieved in sustainable engineering practices. For example, locally available aggregates, manufacturing byproduct materials and recycled granular materials with different quality standards and properties can be used to replace the unsuitable soil, construct a road base/subbase layer, or substitute virgin aggregates used in bound layers of asphalt and cement mixes. To properly identify aggregate source quality linked to aggregate properties, the next level of advancement in property characterization is in quantifying aggregate morphological properties, i.e., shape, texture and angularity. The shape properties no doubt provide improved aggregate specifications over the currently used size distributions or gradations obtained from laboratory sieve analyses. Accurate and rapid methods have been recently developed based on imaging and laser detection techniques that work reliably in laboratory settings to quantify the physical shape characteristics of aggregates (NCHRP 4-30A, "Test Methods for Characterizing Aggregate Shape, Texture, and Angularity" and NCHRP 4-34, "Application of LADAR in the Analysis of Aggregate Characteristics"). Yet, there is a need to properly evaluate shape properties of available aggregate sources directly in the field, at the quarries or construction sites, in relation to meeting performance demands of that certain aggregate usage in the desired transportation infrastructure application. Note that, high resolution camera based field aggregate size and shape property evaluation could yield estimates of such measures directly from the captured images at an aggregate source location. Already matured available image analysis techniques, such as low level multi-scale segmentation, could allow processing multiple aggregate particles captured in a field photo by using the same accurate and rapid technology currently available in laboratory imaging devices for quantifying the shape, texture and angularity properties of individual aggregate particles.
II. Objective
The objective of this research is to develop effective field testing and evaluation methods to optimize the source allocation and use of aggregates in transportation infrastructure based on the physical properties of the available aggregates such that pavement performance is maintained or improved and economy is optimized. Aggregate source allocation and GIS based management of aggregate supply chains and optimizations of source aggregate quality are key components to address road construction demand and performance requirements and the shortest haul distances to road construction sites within a state or a region. Such a GIS based aggregate source management component will be developed to identify, within a panel of potential gravel pits/rock quarries, those of best location for the supply of aggregate materials with respect to their transport costs to a specific highway construction project, yet still satisfying pavement design (i.e., structural adequacy) and service life performance requirements. The methodology will be to characterize locally available materials through improved field testing and evaluation methods for physical properties, use aggregate tests better linked to its field application, and accordingly, revise material specifications. The research approach will use high resolution images captured in the field from stockpiles in aggregate quarries/pits and/or construction sites, and develop computational algorithms to process aggregate particles for size and shape properties from the field captured images. Reasonable estimations/ predictions of those essential mechanical properties could be provided by validated modulus and strength correlations. This way, better comparative performance evaluations can be established through improved tests performed at the quarry source or transportation agency laboratories as well as through collected field performances addressing effects of aggregate properties, such as gradation (size), shape, texture, angularity, percent fines, plasticity index, etc. on the aggregate structural, i.e., strength and modulus, and drainage behavior. New aggregate blends and improved designs based on aggregate properties can be developed to demonstrate the influence of property adjustments on performance improvements. </t>
  </si>
  <si>
    <t>Water Conservation Practices for Highway Transportation Construction and Road Operations and Facility Management</t>
  </si>
  <si>
    <t xml:space="preserve">http://rns.trb.org/dproject.asp?n=29358 </t>
  </si>
  <si>
    <t>RESEARCH PROBLEM STATEMENT Water is a precious finite resource in the United States and throughout the world. Water resource limitations are currently and expected to be one of the main environmental challenges facing the United States as population growth and unsustainable water practices continues. It can be argued that we in the United States are not paying for the real cost and benefit of water as local and regional water resources are decreasing in quality and quantity. Aquifer depletions for domestic and agricultural water demands are unsustainable. Surface systems continue to have high depletion demands that are impacting water quality and quantity requiring hydrologic modifications for collection and storage. Water depletions in some water systems have caused environmental impacts that have affected threatened and endangered species (South Platte River) that impact water usage for transportation projects and operations (U.S. Fish and Wildlife Service, Mountain-Prairie Region, August 9, 2007). It is expected that water resources, particularly in the Western U.S. but increasingly in other parts of the country, will also be stressed from climate change where median temperatures and temperature extremes are expected to increase. Climate change will have a large impact on transportation operations and their use of water especially for re-vegetation and soil stability after construction and operation of maintenance facilities not served by public water. As examples, a rest area in Colorado used over 10 million gallons of water annually at a cost of $15,000 per year, primarily for lawn irrigation and in parts of the I-43 corridor of Wisconsin the groundwater table has receded 50-100 feet. The cost of water is expected to increase due to availability and the cost of new or restructured dams. Examples of transportation-related activities that consume significant quantities of water include: hydro-seeding, pavement marking operations, conditioning for soil compaction, dust suppression, street cleaning, bridge washing, vehicle/equipment washing, landscape establishment/maintenance, brine production, rest area operations. There is limited information to guide state and local Departments of Transportations (DOTs) in planning and implementing water conservation programs. This research project will develop water conservation guidance for transportation programs and projects during transportation design, construction, operation and maintenance and at administrative and maintenance facilities. The research will identify water conservation measures that will reduce short and long-term costs while helping maintain finite water resources (ground and surface waters). It is recognized that water resources and conservation techniques and will differ geographically within the United States; however the need for conservation now and in the future is important. Research will be performed on reduction effectiveness and cost/benefit. Sustainable water conservation programs will help reduce stream and groundwater environmental impacts, construction and operational costs and the regional need for additional expensive hydrologic structures to provide more water. LITERATURE SEARCH SUMMARY There is very limited if any water conservation guidance for state and local DOTs based upon an initial literature review. Water conservation guidance towards highway specific water conservation and efficiency programs is lacking or non-existent in Transportation Research Board (TRB), American Association of State Highway &amp; Transportation Officials (AASHTO) and other transportation literature. Literatures searches using TRIS online, the Research In Progress (RIP) and AASHTO TERI databases provide no previous research related to conservation planning . RESEARCH OBJECTIVE The research objective is to identify short and long term cost effective conservation strategies that take into account current and future water resource conditions. Research will be performed to evaluate specific DOT water usage, areas of waste and cost savings. The research study will provide guidance on how to develop and implement a water conservation plan and identify specific water conservation practices for DOT staff involved in transportation planning, design, construction and operation and maintenance. Appropriate metrics to assess the impact of these practices also need to be developed. The research project will survey state DOTs on existing water conservation programs, best management practices, cost savings and environmental impact reductions. There is a research emphasis on innovative water conservation practices such as but not limited to water recycling/reuse potential, small scale water treatment, water harvesting, gray water usage, and low-water landscaping design strategies. Research will also address current and projected water conservation actions in light of climate change impacts using appropriate metrics. VI. ESTIMATE OF PROBLEM FUNDING AND RESEARCH PERIOD Recommended Funding: $150,000 including travel and other direct costs. Note that this project may be an appropriate candidate for NCHRP 25-25 funding. Research Period: 12 months VII. URGENCY, PAYOFF POTENTIAL, AND IMPLEMENTATION Anticipated Products The guidance document will be a reference on how to develop and implement a water conservation program for all steps within the transportation process and facilities. The guidance document will include potential water conservations techniques that are cost effective over the short and long term context with an emphasis on impacts from anticipated climate change. Research Project Steps Step 1- Literature Review of Existing Water Conservation Practices- perform a literature search on state DOT or other agency water conservation programs and practices within different climatic regions of the United States. Telephone conversations with DOTs, universities or other references will be performed to discuss lessons learned from programs development and implementation; research will expand internationally as appropriate to identify additional water conservation ideas and practices. Deliverable- Technical Memorandum #1 Step 2- Evaluation Water Conservation Practices- compile a menu of water conservation practices that can be used by state and local DOTs in each of the transportation areas associated with NEPA analysis, design, construction, operation and maintenance and facility management. There will be an analysis of practices to reduction effectiveness, advantages/disadvantages, reduced environmental impacts, practicality, legal constraints, practicality and equipment needs, and cost effectiveness; Deliverable- Technical Memorandum #2 Step 3 â€“ Development of Guidance Document Outline and Draft/Final Report and Guidance Documents- develop draft guidance document outline for TRB review and comment. Develop draft water conservation report and guidance document for TRB review and comment; develop final water conservation report and guidance documentation. Provide Power Point Presentation to TRB that can also be used as a training tool for state DOTs. Relationship to sponsorâ€™s strategic goals and policy initiatives â€“ This item fits into the committees research priorities that include identification of the efficient use of resources.</t>
  </si>
  <si>
    <t>ADC60, Waste Management and Resource Efficiency in Transportation</t>
  </si>
  <si>
    <t>Sustainable Modification of Performance-Graded Asphalts to Enhance Low-Temperature Properties</t>
  </si>
  <si>
    <t xml:space="preserve">http://rns.trb.org/dproject.asp?n=29233 </t>
  </si>
  <si>
    <t>Research Problem Statement
During the Strategic Highway Research Program (SHRP), the performance-grading system that was developed for asphalt binders is largely based on what is known as the useful temperature interval, or UTI. The performance grade (PG) of asphalt binders that are purchased today is defined as the range of temperatures over which the material can be expected to have acceptable performance under field conditions.
Modification of asphalt binders had been an available technology prior to the outcome of SHRP research. What the PG system showed was that the addition of polymers and other additives increased the useful high temperature of the asphalt binders by making them more resistant to permanent deformation, or rutting. Moreover, it also showed that this increase in high-temperature properties could be accomplished without any detriment to the low-temperature properties intended to indicate cracking resistance.
Modified asphalts with high UTIs ( &lt; 92C) are now commonly used in high-performance asphalt paving materials. The technology to increase the high-temperature grade of asphalt binders is widely understood, and there are a number of options available to asphalt binder suppliers to achieve this increase. However, the most common trait of all the available technologies is that one must start with a base material that meets or exceeds the requirements for low-temperature cracking resistance, and then increase the UTI by modifying the material to increase the high-temperature limit of its acceptable performance.
The rising demand of petroleum fuels and subsequent increase in cost of crude oil has made it very attractive for oil refineries to extract as much fuel from their crude oil supplies as possible. Asphalt has typically been thought of as a by-product of oil refining, being the remainder of what is left over after the fuels and other valuable components have been extracted. However, refineries are actively advancing their technological capabilities such that they can further remove the lighter molecular weight components from the asphalt in order to enhance the economics of the refining process. This results in a material that has a significantly diminished ability to withstand cracking, as these light components are what give asphalt its flexibility at low temperatures. It is certainly a possibility that the supply of asphalt binder meeting the requirement for low-temperature properties will begin to diminish, thereby increasing the cost of the available supply.
The asphalt paving community is therefore charged with the task of developing a sustainable method of maintaining and improving the low-temperature properties of available asphalt binders. The use of petroleum-based products to accomplish this task may become unsustainable, as the cost incurred by the refinery to extract these materials initially will most certainly be passed along to the end-user who is adding it back in. Recycled petroleum products may be an option, but more research is needed to ensure the final product is suitable for use in asphalt pavements. The burgeoning field of research into renewable biomass-based petroleum alternatives is promising, but is highly fragmented and currently lacks a comprehensive effort focused on low-temperature properties of asphalt binders.
The outcome of this work should not be a single solution, however, but rather a better understanding of the critical factors that determine low-temperature cracking resistance. Then, the asphalt community will have the knowledge at their disposal of how to implement a systematic approach using a wide range of viable technologies, similar to how the issue of improving high-temperature properties was solved.
Research Objective
1. Synthesize recent work on the fundamental properties of asphalt that determine low-temperature cracking resistance, as well as developments in the modification of asphalt binders to enhance low-temperature properties.
2. Identify promising concepts and technologies for further investigation.
3. Conduct additional research to fill gaps in the data.
4. Utilize available information to develop a framework of fundamental critical properties that determine low-temperature cracking resistance and mechanisms to affect those properties.
5. Validate the proposed framework with field testing.
6. Work with users and producers to obtain consensus, and disseminate the information on a national basis.</t>
  </si>
  <si>
    <t>AFK20, Characteristics of Bituminous Materials</t>
  </si>
  <si>
    <t>Framework for National Pedestrian and Bicycle Performance Measures</t>
  </si>
  <si>
    <t xml:space="preserve">http://rns.trb.org/dproject.asp?n=29215 </t>
  </si>
  <si>
    <t xml:space="preserve">Scope: Over the past two decades, United States transportation policy has transitioned from focusing mainly on automobile infrastructure, efficiency, and safety to accommodating the needs of all types of transportation system users, including pedestrians and bicyclists. According to the 2010 USDOT policy statement, “The DOT policy is to incorporate safe and convenient walking and bicycling facilities into transportation projects.  Every transportation agency, including DOT, has the responsibility to improve conditions and opportunities for walking and bicycling and to integrate walking and bicycling into their transportation systems.”
However, the most common metrics used to evaluate national, state, and local transportation systems are still focused mainly on automobile and public transit modes. These performance measures include vehicle miles traveled (VMT), motor vehicle level of service (LOS), hours spent in congested traffic, average running speed, lane miles of highways and roadways, transit service frequency, and farebox recovery ratio. Moreover, some of these existing metrics are concerned with increasing motor vehicle capacity and decreasing automobile delay, so they implicitly discourage certain bicycle and pedestrian improvements.  While some local and state agencies have started to establish pedestrian and bicycle performance measures, few exist at the national level[1]. New metrics are essential for evaluating transportation system conditions and opportunities for pedestrians and bicyclists.
This synthesis project would review existing pedestrian and bicycle performance measures at state, regional, and local levels. Pedestrian performance measures would be documented and evaluated separately from bicycle performance measures. The project would classify these measures into several categories (e.g., activity/volume, safety, infrastructure, socioeconomic characteristics, institutional awareness/support, and citizen satisfaction). The research team would then identify specific pedestrian or bicycle performance measures in each category that could be good candidates for becoming official national measures (e.g., the data are available or easily collected, measures are related to common goals of transportation agencies, measures are easy to understand). Ultimately, this synthesis of existing performance measures would lead to  a national framework for tracking the most essential elements of pedestrian and bicycle activity, infrastructure, safety, institutional support, and user satisfaction in the United States. The end product could also be used as a basis to update existing local, regional, and state performance monitoring systems to include key pedestrian and bicycle indicators. 
The synthesis should also address how federal guidance and support could make pedestrian and bicycle data collection more feasible for local agencies, MPOs, and state DOTs. Where possible, this effort should be coordinated with international initiatives to establish pedestrian and bicycle performance measures (as discussed at the Walk21 Conference in New York in 2009).
The direct payoff of this project would be an improved ability to track national trends in pedestrian and bicycle activity, safety, infrastructure improvement, and satisfaction over time. This information is essential for demonstrating the effectiveness of investments in pedestrian and bicycle infrastructure and safety programs. Reporting the performance measures on an annual basis would also provide direct evidence of how well USDOT policy is being achieved. Measuring pedestrian activity, safety, infrastructure, and user satisfaction would show stakeholder groups and the general public that pedestrian and bicycle transportation are taken as seriously as other modes that are already being measured and reported on a routine basis at the national level.
This synthesis would build on momentum from several efforts, including the National Bicycling and Walking Study (conducted every five years by FHWA) and the pro-bono National Pedestrian and Bicycle Documentation Project (organized by Alta Planning &amp; Design and the Institute of Transportation Engineers). It would also support policy initiatives to improve performance measurement for all modes, as suggested by the draft DOT Strategic Plan for 2010 to 2015 and the HUD-EPA-DOT Sustainable Communities Partnership. </t>
  </si>
  <si>
    <t>Maintaining Transit Effectiveness under Major Financial Constraints</t>
  </si>
  <si>
    <t xml:space="preserve">http://rns.trb.org/dproject.asp?n=28630 </t>
  </si>
  <si>
    <t>Transit agencies are struggling to deliver the most effective service with limited resources. Revenue streams, including fare revenues and sales taxes, were hit hard by the Great Recession and are slow to recover.  Transit ridership and operating costs have risen with fuel prices. Squeezed by higher costs and lower revenues, .many transit agencies increased fares and cut service. Meanwhile, others looked more broadly at strategies to increase efficiency and effectiveness. One example of this broader look is the San Francisco Metropolitan Transportation Authority’s Transit Effectiveness Project.  The TEP and similar efforts should be documented and more widely shared r.
It is likely that the revenue streams supporting transit will take years to catch up to forecasted levels, so it is vital that transit agencies streamline their organizations to deliver the best service in the most cost-effective way. Fare increases and service cuts are not sustainable strategies. This research would identify approaches that agencies around the country have undertaken, offering models to other transit agencies on how to make their service more efficient and sustainable. Leaders of transit agencies could benefit from understanding what has worked and what pitfalls should be avoided.
The synthesis might include the following steps that could be completed for 400 hours of professional time:
1. Identify transit agencies that are undergoing (or have recently undergone) similar efforts through an email request (likely through APTA’s listserves).
2. Compile available reports and other documentation from these transit agencies.
3. Develop a report that synthesizes the following information:
·         What was the impetus behind conducting these studies?
·         What strategies were considered to improve service delivery and reduce cost (cost containment strategies, business process improvements, and service re-structuring)?
·         What kind of analysis did the transit agencies undergo to complete this study (e.g. ridership analysis, focus groups, etc.)?
·         How did agencies decide which strategies to select?
·         How did transit agencies balance the short-term immediate needs with the long-term focus?
·         For those strategies already implemented, what cost savings/efficiencies were realized?
4. Identify opportunities for further research.</t>
  </si>
  <si>
    <t>AP025(2), Public Transportation Planning and Development Research Needs</t>
  </si>
  <si>
    <t>Bicycle Research Needs for National Parks and Public Lands</t>
  </si>
  <si>
    <t xml:space="preserve">http://rns.trb.org/dproject.asp?n=28135 </t>
  </si>
  <si>
    <t>Problem: 
Public lands must serve a broad population base with diverse interests and desires for outdoor recreation, including an increasing segment of society that participates in biking.  Yet, opportunities to travel by bicycle in national parks and other public lands are relatively limited. 
In part, this is due to decades of developing auto-centric infrastructure that has led to overflowing parking lots, cars collecting on road shoulders, and long lines of automobiles crowding roads and parkways.  While some parks have begun to incorporate and promote cycling as a means of managing congestion, most bicycle facilities have been designed to increase mobility within park boundaries and lack connectivity to corresponding gateway communities.  This leaves cyclists reliant upon motorized transportation for entrance into public lands and further exacerbates automotive congestion.  Furthermore, emphasis on resource protection rarely allows for investments in new transportation infrastructure within parks and public lands.
Objective:
The purpose of this research is threefold:  (1) to address the growing demand for cycling opportunities in national parks and public lands, it will define the range of factors (e.g., ease of access, density of use, travel corridor design) that characterize optimal bicycle travel opportunities; (2) to both alleviate automobile congestion and enhance accessibility across park boundaries, this research will establish the potential demand for bicycle facilities that create connectivity between gateway communities and park resources; and (3) to consider the importance of resource protection, this research will examine how existing park roads and parkways may be redesigned (e.g., incorporation of bike lanes) to accommodate the needs, desires, and demands of cyclists.  The final product of the research will produce a guidebook that provides practitioners with:
· Practical methods to establish indicators and standards of quality for bicycle facilities across a range of public land settings.
· Pragmatic approaches to establishing demand for cycling facilities connecting gateway communities to park and public land resources.
· Guidance on preferred design treatments for cycling facilities within national parks and other public lands.</t>
  </si>
  <si>
    <t>ANF20, Bicycle Transportation</t>
  </si>
  <si>
    <t>Remote Structure Monitoring Techniques for Infrastructure Applications</t>
  </si>
  <si>
    <t>http://rns.trb.org/dproject.asp?n=27870</t>
  </si>
  <si>
    <t xml:space="preserve">III. RESEARCH OBJECTIVE
Ultimately, the project goal is to improve the performance, safety and economy of our nation’s infrastructures for the benefit of its citizens. Specifically, this project will develop and deliver a sensor-platform that aimed to use state-of-the-art remote technologies for short and long-term health monitoring of infrastructures and bridges.  At the same time, it also provides instant traffic flow information, structure digital tracking capability at relatively low cost.  This will be accomplished through four distinct work tasks, including
Task I - Literature Search. This task will focus on what are the essential and desired parameters for researchers and engineers to make the comprehensive assessment of the highway structures healthy and what are the currently available systems to implement the monitoring?   What is the current status that individual states have undertaken pilot studies to implement health-monitoring systems on critical highway structures? This information will be studied to determine if remote monitoring was used and if so, what successes or failures did they have. Deliverable: Synthesis report.
Task II - Embedded RF Remote Sensor-Platform Communication Design Finalization. The proof concept sensor-platform currently developed at LTRC/CAMD-LSU will be optimized during this period of project. Specifically, the connectivity of the available sensors and data acquisition systems will be studied to determine how a remote monitoring system can be employed and reliable data transmission achieved. The performance of the developed sensor-platform, especially the communication between the platform nodes and controlling stations, will be studied to gauge performance characteristics under extreme temperature variations; traffic vibrations; extreme loading events such as permit loading, floods, earthquakes, and high winds; moisture; vandalism; corrosion; magnetic, radio wave, solar, or microwave interference; and etc. Deliverable: Design specifications for various remote-monitoring systems for highway pavement and bridge health-monitoring.
Task - III System Validation. Based on the study of Task 1 and II, the researchers will validate the performance of a health-monitoring system using the sensor-platform developed by LTRC/CAMD with support of NCHRP-IDEA project #129. The systems will be tested under controlled conditions at field test sites to study the remote monitoring systems hysteric behavior, durability, reliability and maintenance. Deliverable: A Remote Monitoring Design Guide including summary report of system performance, with final recommendations for specifications to achieve remote monitoring system design for site specific designs. Key to this effort will be the development of criteria of what to monitor, how many sensors to employ and the sampling rate to achieve desired results, without mistakenly interpreting results.
Task - IV Prototype Sensor-Platform Commercialization: Using the prototype sensor-platform verified in Task III, the final configuration will be implemented at a test bridge and its performance evaluated over a period of 1 year. Deliverable: Summary report of system performance, with recommendations for improvement to the recommended specifications and long-term projected cost-benefit analysis to owner. </t>
  </si>
  <si>
    <t>Crash Harm per Freight Ton-Mile for Different Large Truck Configurations</t>
  </si>
  <si>
    <t>http://rns.trb.org/dproject.asp?n=27486</t>
  </si>
  <si>
    <t xml:space="preserve">Objective
In a broad sense, the envisioned study would ask which large truck transport vehicles provide the greatest benefits to society while resulting in the least harm.  Specially, the study would determine crash harm per ton-mile (and, if possible, comparable volume-related denominators) for major large truck configurations, including STs, CTs, and as many HPV/LCV configurations as possible.[1]    The project venue would be a large western U.S. state permitting LCVs or, preferably, a group of contiguous states and Canadian provinces.  The involvement of at least one U.S. state is important because the largest North American studies on LCV safety to date have primarily been in Canada.
The project would likely require several years of data collection to obtain a sufficient sample of HPV/LCV crashes and exposure data.  Active government participation and support would be required.  State/provincial Police Accident Report (PAR) forms would likely need to be revised to accurately capture different truck configurations in crashes.  Some police training would be necessary as well.  Also required would be a sufficient state-wide sample of traffic monitoring stations with the capability of distinguishing different large truck body types.  This capability does exist in some commercially available systems.  Data from carriers employing HPVs would also be required.  Crash, mileage exposure, and carrier vehicle classification taxonomies would need to be standardized and coordinated so all are classifying vehicles reliably.  Both crash and exposure data would be restricted to roadways permitting LCVs (e.g., Interstates) to better control comparisons.  The inclusion of crashes and exposure from undivided highways, for example, would confound comparisons because truck crash rates are much higher on these roads.  Cargo value is another consideration; certainly in relation to the numerator (i.e., value of cargo loss in crashes), and possibly in relation to the denominator (i.e., value of transported goods as distinct from cargo weight).  Another factor for consideration is the degree to which HPVs, CTs, and STs are used to their full cargo capacities.  Systematic vehicle type differences in actual versus maximum allowable cargo load would distort ton-mile and corresponding volume-based comparisons.  This concern might be addressed using supplemental weigh station, weigh-in-motion, vehicle inspection, and/or carrier manifest data. 
Crashes should of course be classified in ways shedding further light on HPV operations and safety.  This would include roadway type, crash type, urban vs. rural, time-of-day, and day-of-week.  Crash location data may be relevant to roadway concerns such as lane width, curve radii, and interchange design.  Since a supplemental crash data form would be necessary anyway, it might be possible to add crash causation-related variables not included on current PARs.  If possible, data should be gathered on truck safety features (e.g., advanced technologies) in crash vehicle inspections and from major HPV carriers in the region.  This might help to quantify safety benefits from these technologies.
As articulated, this study would not address other important issues of relevance to HPV use, including pavement wear, structural capacity of bridges, carrier operational issues, and labor and wage issues regarding drivers.  Also, it would not seek to validate previous studies on HPV fuel efficiency or emissions, since this would require extensive and separate data collection.             </t>
  </si>
  <si>
    <t>ANB70, Truck and Bus Safety</t>
  </si>
  <si>
    <t>Behavior and Design of Steel Bridges Strengthened with FRP Materials</t>
  </si>
  <si>
    <t>I. Research Problem Statement
Recently, high-modulus carbon fiber reinforced polymers have been developed with
moduli of elasticity twice that of conventional mild steel. Preliminary research has
indicated that externally bonded high-modulus CFRP laminates can effectively be used
for short-term strengthening of steel bridges. A thorough investigation of the long-term
performance of steel bridges reinforced with high-modulus CFRP has not yet been
conducted. Furthermore, due to the limited number of large-scale specimens which have
been tested, a detailed understanding of the load-transfer mechanisms of the
high-modulus CFRP retrofit has not yet been established. Research on the effect of
environmental exposure, including exposure to moisture, chlorides and thermal loading on
the performance of high-modulus CFRP reinforced bridges has not been conducted.
Furthermore, the fatigue capacity of large-scale bridge members reinforced with
high-modulus CFRP has not been established. The long-term performance of steel
bridges reinforced with high-modulus CFRP needs to be established before widespread
use of the retrofit system is possible. Finally, a detailed understanding of the
load-transfer mechanisms in high-modulus CFRP reinforced steel bridges needs to be
established through more extensive testing of large-scale specimens and thorough
analytical and parametric studies.
II. Research Proposed
The goals of the proposed research are to determine the effectiveness of externally
bonded high-modulus CFRP laminates for long-term rehabilitation of existing steel
structures and to gain a thorough understanding of the load-transfer mechanisms in
large-scale steel girders reinforced with externally bonded high-modulus CFRP laminates.
This research should result in design recommendations for the use of externally bonded
high-modulus CFRP laminates for the retrofit of steel girders.</t>
  </si>
  <si>
    <t>AFF80, Structural Fiber Reinforced Polymers</t>
  </si>
  <si>
    <t>ITS Services: Security Aspects of Data Quality Management</t>
  </si>
  <si>
    <t>Problem - ITS services (traffic and travel information provided to end-users and used by traffic centers and emergency managers) tend to merge a wider variety of data sources (from different sensors, different road network managers, different transit operators). This trend reflects the need to optimize data accuracy and coverage. Though end-users' information service providers are more and more market operators, public authorities are still very much involved in data production on one hand and information use for traffic and emergency management on the other hand. However, â€œprivate€ data providers (e.g. floating car or mobile data) increase their role, especially in information niches (e.g. specific types of traffic/vehicles or types of events). There is an increasing need to set organizations, processes and techniques in order to put traffic and travel data in common, in warehouses, due to economies of scale in data fusion and quality control. Quality of data is of high importance for travelers as well as traffic managers, especially in abnormal situations (high congestion, emergency) : inadequate information based on low quality data may result in non desirable traffic and travel behaviors. However, the increasing centralization and/or fusion of data raises quality and, above, vulnerability issues, i.e. serious default in data quality and integrity that might be harmful to public objectives. Several standardization initiatives cover the issue of data quality for ITS (footnote 1) at several stages of the process : measurement, processing, exchange, storing, fusion, transmission to end-users. However, these initiatives are still more focusing on data quality than on data integrity and security. It could be useful to extent these initiatives in order to take into account intentional threats on data quality and specific damaging transport behaviours caused by data quality defaults, especially in emergency situations. Objective - The first objective of the research would be to screen existing data quality management standardization initiatives and ongoing studies / research and assess how security issues are taken into account and addressed. A second would be to apply vulnerability assessment methodologies to this interface of data security and transport vulnerability.</t>
  </si>
  <si>
    <t>Integrated Ramp and Ramp Terminal Design</t>
  </si>
  <si>
    <t>http://rns.trb.org/dproject.asp?n=27111</t>
  </si>
  <si>
    <t>III. RESEARCH PROBLEM STATEMENT
As we move forward with a more sustainable and built environment, it is important to provide an integrated ramp and ramp terminal design that will provide for safe and efficient transportation of the current and future road users. The American Association of State Highway and Transportation Officials’ (AASHTO) A Policy on Geometric Design of Highways and Streets contains general guidelines for the relationship of ramp design speed to the mainline highway design speed, as well as general guidelines for the design speed of ramp terminals, which includes freeway entrance and exit terminals and highway intersections. However, the design of ramps has not traditionally been viewed as an integrated system consisting of the three integral parts which form the ramp: the ramp proper and the appropriate terminals, whether freeway or highway, and on each side of the ramp proper.
A large number of accidents occur on freeway ramps annually. Although ramp design has a major effect on the ability of a freeway and the interchanging roadway to carry traffic safely and efficiently, little research or literature has been published on the concept of the integrated ramp system. Typically, ramp terminals and the ramp proper are designed independent of each other and simply put together in designing a ramp. Ramp design practices should consider driver expectations and behaviors over a full range of geometric and traffic conditions which would include the interchange form, ramp type, the area environment (rural vs. urban) and the functional classification of the two interchanging roadways. The issue of an integrated ramp and ramp terminal design is a complex issue in need of basic research.
The American Association of State Highway and Transportation Officials’ Strategic Highway Safety Plan has identified a need for improved interchange ramp design to reduce the frequency of truck-related fatalities. These crashes typically occur on horizontal curves on the ramp proper, or on deceleration lanes on downgrades. Crashes on interchange ramps have a secondary effect of decreasing mobility not only on the ramp, but on the freeway and intersecting roadway, as a result of an incident.
V.        RESEARCH OBJECTIVE
The objective of this research is to develop integrated ramp design criteria based on quantitative information from actual field observations, theoretical considerations, simulations, or a combination of the three approaches. Research should highlight the safety and operational aspects of integrated ramp design for the full range of interchange forms, ramp types, system vs. service interchange ramps, and area environments (rural vs. urban). The final report should include proposed changes to AASHTO policy, if results support a change.</t>
  </si>
  <si>
    <t>AHB65, Operational Effects of Geometrics</t>
  </si>
  <si>
    <t>Developing a Methodology for Evaluating Design Tradeoffs to Accommodate Multiple Roadway Users</t>
  </si>
  <si>
    <t>http://rns.trb.org/dproject.asp?n=27107</t>
  </si>
  <si>
    <t xml:space="preserve">III.        Research Problem Statement:
There is increasing recognition that successful roadway geometric design, and in particular successful designs for urban streets, must effectively serve all transportation modes and provide an appropriate balance among those modes. An effective urban street design must often accommodate motor vehicles of many types - passenger vehicles, trucks, buses and sometimes rail transit – while also accommodating non-vehicular modes such as pedestrians and bicyclists.  Additionally, space within the right-of-way must typically be provided for roadside hardware, underground and above-ground utilities, and other urban fixtures. Further, the design should be coordinated with the use and “context” of adjacent properties. Any street design that successfully meets all of these objectives is currently often referred to as a “complete street.” The need for more “complete” geometric roadway design in urban areas has been well recognized, and much has been written about the importance of designing for the safe and efficient travel of all user modes along the facility. However, little established practical engineering design guidance exists on how to effectively integrate and balance all transportation modes along the same facility, corridor or intersection. Most available design guidance deals extensively with design for vehicular traffic but does not assess or incorporate the needs (often competing) of other modes to be served. Little information is documented regarding the safety, operational, and usability consequences from the design element tradeoffs of this process.  
User needs vary by functional class, presenting a challenge for creating geometric designs that adequately recognize and provide for a mix of transportation modes and the priority that should be given to each. Thus, there is a need to determine the range of users of each highway functional class and assess how best to serve the mix of users found on each class. Another challenge is how to fit a balanced street design into an existing environment with limited right-of-way, congested traffic conditions and other design challenges.
Additionally, pedestrians and cyclists are involved in a disproportionate number of serious collisions at urban intersections because of their vulnerability. Their treatment at high volume signalized intersections is especially critical because the competing demands on the available signal time conflict with heavy turning traffic, long crosswalk exposure distances, etc. 
Measures to promote pedestrian and bicycle safety are receiving increased attention because non-motorized users are playing an increasing role in the development of livable and sustainable communities, and livable and sustainable communities are both key policy initiatives for the USDOT. Several pedestrian and bicycle safety treatments have been identified and applied in various locations throughout the US, and there is a need for research to identify the most promising treatments and to promote their nationwide adoption. 
V.         Research Objective:
The objectives of the research are to:
·         identify the mix of users, including primary and secondary users, that need to be served on various highway functional classes;
·         identify the types and designs of facilities needed to serve each of those types of users;
·         develop a methodology that can evaluate tradeoffs between designs that focus on accommodating different modes;
·         develop examples showing how facilities have been or could be designed effectively as part of the same corridor and intersection; and
·         present the results in the form of multimodal design guidelines for specific highway functional classes.
The first objective—identifying mixes of user on specific functional classes—should address the full range of highway functional classes. The latter objectives could also address a range of functional classes or could focus on selected functional classes of interest.
The research should develop examples of projects that have effectively implemented multimodal designs for specific functional classes. It should highlight the features of those designs that allow multiple transportation modes to be served both safely and effectively. The research should also suggest new concepts that could be considered in future projects.
The design guidance developed should be both integrated and multimodal. It should also address the tradeoffs between design elements and safety and operational performance of these facilities. The guidelines should not discuss each transportation mode in separate chapters; an adequate amount of separate material on each mode is available in other sources. Instead, the guidelines should focus on fitting the individual modes together into an integrated facility that meets the needs of each in a balance appropriate for the functional class of the facility. The guidelines should indicate the expected operational and safety performance of alternative approaches to facility design.
The research should include a literature review of previous research and current practice in regard to pedestrian and bicycle facilities design, development of a work plan to achieve the research objectives, collection of applicable field data and other information, evaluation of the safety and operational effects of various combinations of design elements, and preparation of a final report. The final report should include proposed changes to AASHTO documents, if results support a change. </t>
  </si>
  <si>
    <t>AFD80, Strength and Deformation Characteristics of Pavement Sections</t>
  </si>
  <si>
    <t>Assessment of the Potential for a Climate Change "Truth in Advertising" Initiative for the Transportation Sector</t>
  </si>
  <si>
    <t>http://rns.trb.org/dproject.asp?n=25866</t>
  </si>
  <si>
    <t>Problem
Currently, transportation goods and services are marketed, promoted, and sold with very little information related to their carbon footprint or other possible impacts to the climate. For example, the lifecycle footprint of a new car, bus, or train includes the embodied energy involved in making the vehicle, its shipping, all the fuel and maintenance materials used during its life, and its impact when disposed at end of life. A similar calculation can be made for a single trip made on any mode. The potential exists to standardize how these calculations are made, incorporate the information into how the goods are services are labeled or otherwise marketed, and make the information available to the consumer at the time of purchase. This would result in a more informed public regarding how their purchases could impact climatic changes.
Objective
Assess the feasibility and benefit of a climate change "truth in advertising" policy for transportation goods and services, similar to those used for food nutritional information, prescription drugs, or other consumer goods. Ensuring customer awareness of facts regarding climate change impact of goods and services would be mandatory for the purveyor of those goods and services. Calculations would be made with valid, science-based, peer-reviewed data. This research would assess the potential for such an initiative and identify opportunities, barriers, and other issues associated with its implementation.</t>
  </si>
  <si>
    <t>Driving and the Built Environment Part II</t>
  </si>
  <si>
    <t>http://rns.trb.org/dproject.asp?n=25859</t>
  </si>
  <si>
    <t xml:space="preserve">Problem:
Transportation Research Board’s Special Report 298: Driving and the Built Environment: The Effects of Compact Development on Motorized Travel, Energy Use, and CO2 Emissions recommended specific research on the effects of land use patterns and the form and location of more compact, mixed-use development on vehicle miles traveled (VMT), energy use, and greenhouse gas (GHG) emissions are needed to implement compact development more effectively.
Objective:
The objective of the research is to provide analysis of the impact of the built environment on driving in order to assist transportation and land use policymakers in decision-making.
This research builds upon and expands from the TRB study. It includes the following key areas in which more research would be productive:
    Longitudinal studies to help isolate the effects of different types of development patterns on travel behavior
    Studies of how different development patterns and policies (including road pricing, parking pricing, insurance pricing, public transit quality, carsharing availability, etc.) affect travel activity as well as fuel consumption, emissions, and pollution exposure.
    Studies of changes in metropolitan areas at finer levels of spatial detail to help inform the needs and opportunities for policy intervention
    Careful before-and-after studies of policy interventions to promote more compact, mixed-used development to help determine what works and what does not
    Studies of threshold population and employment densities to support rail and bus transit and walking and bicycling, which would update old references and help guide infrastructure investments as well as zoning and land use plans
    Studies of changing housing preferences and travel patterns of an aging population, new immigrant groups, and young adults to help determine whether future trends will differ from those of the past.
    Develop recommendations for how the results of the above studies can be incorporated into transportation models for better assessing policy and planning decisions. </t>
  </si>
  <si>
    <t>http://rns.trb.org/dproject.asp?n=25844</t>
  </si>
  <si>
    <t>Adaptation as a Defensive Strategy to Address Climate Variability Impacts on Critical Transportation Infrastructure</t>
  </si>
  <si>
    <t>Problem:
In some locations, particularly the U.S. Gulf, transportation infrastructure will remain at risk due to persistent weaknesses in natural systems, such as sea-level rise coupled with shoreline subsidence and barrier island erosion. One way of avoiding repeated hardening and reconstruction costs is to move the infrastructure to where it is less at risk – this is a kind of adaptation to climate variability.
Objective:
This research would follow-on from the U.S. DOT study, Impacts of Climate Change and Variability on Transportation Systems and Infrastructure: Gulf Coast Study (2008) (PDF 10.06mb). The objective would be to quantify the risk to existing infrastructure in its present form and location, and undertake a cost-benefit analysis geared toward balancing the cost of hardening and/or reconstruction with the cost of moving it to where the damage from climate variability will not be so great. Significant cost could be avoided by planning the relocation of such infrastructure where the anticipated rate of depreciation and or catastrophic destruction (as with the bridge of Highway 1A during Katrina) is high. If planned sufficiently in advance, such projects could be undertaken in a way that would minimize disruption to the existing network, while providing a concrete example of an adaptation strategy.</t>
  </si>
  <si>
    <t>Framework to Enable Multiple Agencies to Develop Policies Relating Climate Change and Infrastructure Protection</t>
  </si>
  <si>
    <t>http://rns.trb.org/dproject.asp?n=25843</t>
  </si>
  <si>
    <t>Problem:
Different agencies will continue to develop policies related to climate change and to transportation infrastructure protection. While these two topics, and thus their related policies, often affect each other, policies are not typically developed through the joint efforts of the various agencies that may ultimately be affected or that may have valuable input for the decision making process. 
Objective:
This research will develop a variety of concepts or constructs that would enable DOT, DHS, and local agencies to work together to assure that each had appropriate input into policy development related to climate change and protecting our critical transportation infrastructure. As the transportation infrastructure is multimodal and multi jurisdictional, and relates to multi sector issues (including multi-modal travel, goods movement, and security, for example), numerous agencies could be involved in collaborating for ensuring the best and most balanced policies.
This research will include assessing the potential for interagency cooperation and analyzing societal trends toward a preference for more sustainable and environmentally friendly development practices. It will consider other concepts under discussion regarding potential DOTs of the future, new roles for US DOT, new roles for metropolitan planning organizations, etc, and address how these new structures or organizations might best be designed to also consider and address climate change, critical infrastructure protection, and their relationship.
This research should also consider institutional structures needed for climate change mitigation policy and program implementation.
In addition to assessing the organization issues, this research will also assess and then develop a greater understanding of the decision and policy process related to climate change and long range planning that may support or conflict with critical infrastructure protections and security. This research will develop strategies for addressing climate change and critical infrastructure protection at key points in the Collaborative Decision-Making Framework (related to SHRP2 project). It will identify materials already produced in the planning process and develop new materials to fill gaps.
This research will also assess the flexibility within current federal regulations (e.g., regulations on spending federal funds) to address transportation needs regarding climate change and critical infrastructure protection.
To support eventual implementation of the ideas generated in this research, the final task would be for the research team to support a workshop to not only share the ideas developed, but to also apply some of the strategies to address a specific “test” scenario through a tabletop exercise.</t>
  </si>
  <si>
    <t>Collaborative Decision-Making Framework for Climate Change Mitigation and Adaptation</t>
  </si>
  <si>
    <t>http://rns.trb.org/dproject.asp?n=25792</t>
  </si>
  <si>
    <t>Problem
Numerous organizations at the federal, state, and local level have a stake in developing strategies to mitigate greenhouse gas emissions and adapt to climate changes. These organizations need to have supportive policies and collaborative approaches to improve their effectiveness in developing and implementing climate change strategies. There is a need to communicate, cooperate, and collaborate in efforts so that they are not duplicative or counterproductive.
Objective
This project will develop a greater understanding of decision-making and policy processes related to climate change and long range planning within the transportation sector. The project will consider key decision points for developing strategies and addressing critical mitigation and adaptation issues within a Collaborative Decision-Making Framework. It will develop a variety of concepts or constructs that would support federal, state, and local agencies working together to assure that each had appropriate input into policy development, and alternative strategies to mitigate climate change and adapt to any changes linked to multimodal, multi jurisdictional, and multi sector issues (including multi-modal travel and goods movement). This may include assessing the potential for interagency cooperation and analyzing societal trends toward a preference for more sustainable and environmentally friendly development practices. It will identify materials already produced in the planning process and develop new materials to fill gaps.
This project will be informed by the results of SHRP2 C01 and SHRP2 C09. Project C01 resulted in the development of a Collaborative Decision-Making Framework for the transportation planning and project development process, which has been posted online as a tool for state DOT and MPO staff to access and use. The final tool is called “Transportation for Communities-Advancing Projects through Partnerships”. Project CO9 attempts to determine how the consideration of greenhouse gas emissions is, or could be, integrated into traditional transportation planning and project development processes. This research proposal builds on both of these projects, but the main difference is that the primary focus of this research will be the development of a CDMF for climate change decision-making at the federal, state, and local levels, with transportation issues and impacts considered as part of that framework.</t>
  </si>
  <si>
    <t>Development of Simplified Design Guidelines for Reinforced Self-Consolidating Concrete Bridge Piers Confined with CFRP Grids</t>
  </si>
  <si>
    <t>I.     RESEARCH PROBLEM STATEMENT
In a recent report to Congress, the Federal Highway Administration (FHWA) reported that 23 percent of the bridges are classified as structurally deficient. The U.S. Department of Transportation (USDOT) has estimated that $90.9 billion will be needed to repair the damage on existing bridges. Approximately 40 percent of the current backlog of highway bridge repair and rehabilitation costs is directly attributed to the corrosion of reinforced concrete bridge components. The FHWA aims at identifying and employing innovative technologies, materials and procedures to speed up both the design and construction phases for preserving, rehabilitating and reconstructing bridge systems. Innovative approaches for rapid constructing of long-lasting bridges, with minimal disruption to the community, need to be developed.
Carbon fiber reinforced polymer (CFRP) reinforcement was proven to provide a potential solution for corrosion-deteriorated bridges. Recently, CFRP grids have been successfully developed and implemented in the precast/prestressed industry. CFRP grids have been used in architectural concrete panels and double tees. The CFRP grids provide competitive alternative to the conventional steel reinforcement as small cover concrete is required, resulting in thinner and less expensive members especially in harsh and aggressive environments.
Self-consolidating concrete (SCC) is a specially proportioned hydraulic concrete that enables fresh concrete to flow easily into forms and around rebars without segregation. Recent research has shown that the use of SCC may provide the following benefits: (a) increased rate of production and safety; (b) fast concrete placement; (c) improved quality of the finished product; (d) reduced labor needs; (e) lower noise levels; and (f) less pumping pressure, thus reducing wear and tear of the pumps and the need for cranes to deliver concrete in buckets at the job site. Other long-term benefits include longevity of the bridges as they will be less likely to have large voids. 
The advantages of employing reinforced SCC in bridge piers confined with CFRP grids have not been investigated yet. Research on the applicability of using CFRP grids to confine the concrete core of bridge piers needs to be carried out. A comprehensive experimental program that includes testing of large-scale reinforced SCC bridge pier specimens confined with CFRP grids is lacking. Capacity, strength degradation, ductility, shear capacity, failure mechanism and long-term performance of reinforced SCC bridge pier specimens confined with CFRP grids should be experimentally investigated. Thorough analytical and parametric studies, to complement the experimental investigation, need to be carried out before recommending field implementation and widespread use of the system. Results of the experimental and analytical studies shall be used to establish simplified design guidelines for SCC bridge piers confined with CFRP grids.
II.    RESEARCH PROPOSED
The primary objectives of the proposed research are to clarify the long-term behavior of reinforced SCC bridge piers confined with CFRP grids and to provide rational and simplified design and construction guidelines. The following main tasks are proposed: a) conduct an international literature search to identify emerging technologies and applications for the use of CFRP grids in bridge structures; b) conduct an extensive experimental study to clarify the strength, ductility, shear capacity and failure mechanism of reinforced SCC bridge pier specimens confined with CFRP grids. Large-scale specimens will be tested under sequentially-increasing reversed cyclic loading to clarify the interaction between strength degradation and ductility; c) investigate the long-term behavior of the bridge piers through applying representative 50-year fatigue cycles; d) carry out analytical and parametric studies to establish the effect of the study variables; e) document all the research tasks, results, conclusions and recommendations; and f) produce rational and simplified design guidelines for implementation of reinforced SCC bridge piers confined with CFRP grids.</t>
  </si>
  <si>
    <t>AFN20, Properties of Concrete</t>
  </si>
  <si>
    <t>Reducing Cracking of Concrete Bridge Piers and Abutments</t>
  </si>
  <si>
    <t>I.  Research Problem Statement:
Recently cracking has been observed in new bridge piers.  Such cracking threatens to allow penetration of chlorides and other harmful materials within the concrete, leading to potential reinforcement corrosion.  These degradation mechanisms can lead to severe deterioration, increased maintenance costs, and decreased service lives of bridge substructure components.  This is an urgent study because construction of substructure components is an important element of bridge construction, and represents a considerable investment of infrastructure dollars.  
II.  Research Objective
The objective of this proposed research will be to:
1. identify the potential causes of cracking of bridge piers and abutments, as related to concrete mixture design
2. identify the characteristics of concrete mixtures that reduce the likelihood of cracking in bridge piers and abutments
3. recommend strategies to mitigate cracking in bridge piers and abutments.
The research will be carried out through a thorough program of literature review, field investigations, and laboratory testing.  Specific project tasks will be:
• Literature review and problem definition: review the published literature on concrete bridge deck overlays.  This will include contacting federal and state transportation agencies by telephone and email to investigate the extent of problems with bridge pier and abutment cracking. 
• Detailed investigation of bridge pier and abutment cracking: due to lack of travel funds provided, site visits may not be possible.   Therefore, it will be necessary to gather much information by telephone and email.  Construction records for these sites will also be reviewed, if available.
• Laboratory testing: a laboratory testing program will be carried out to develop concrete mixtures that will reduce the probability of pier and abutment cracking.   Examples of measures that may be taken to reduce the cracking risk for piers and abutments:
o Reduce paste volume by using larger maximum size of coarse aggregate
o Reduce paste volume by blending two coarse aggregate sizes to produce a dense gradation
o Reduced cement content
o Higher replacement levels of cement by fly ash or slag
o Partial replacement of natural sand with saturated lightweight aggregate to provide internal curing
o Construction measures such as lower concrete temperatures or embedded cooling pipes
• Final report: the final report will document the results of the study.</t>
  </si>
  <si>
    <t>Demonstrating A Systematic, Multi-Criteria Approach to Deicer Selection</t>
  </si>
  <si>
    <t xml:space="preserve"> RESEARCH PROBLEM STATEMENT
Large amounts of solid and liquid chemicals, known as deicers , and abrasives are applied onto winter highways to keep them clear of ice and snow. The United States spends 2.3 billion (US) dollars annually to keep roads clear of snow and ice; in Canada, more than 1 billion (US) dollars is spent annually on winter maintenance. In the last decades, the growing use of deicers has raised concerns about their effects on motor vehicles, transportation infrastructure, and the environment. Transportation agencies are under increasing pressure to maintain high levels of safety and mobility on roadways even during the winter months, while working with limited financial and staffing resources and recognizing the corrosion and environmental challenges related to chemical and material usage.
Too often, the selection of snow and ice control materials is focused solely on material cost and effectiveness (effective temperature and level-of-service impacts). Procurement decisions too often ignore costs of corrosion and environmental impacts. An asset management perspective should be utilized to strike the right balance in meeting multiple goals of each highway agency, including safety, mobility, environmental stewardship, infrastructure preservation, and economics.
While there is increasing amount of information available regarding various aspects of deicers in terms of performance and impacts, how to use the information is a challenge for winter maintenance decision-makers. Research is needed to establish a multi-criteria framework that would integrate the local priorities with the laboratory testing data in a quantitative manner and thus allow agencies to make more effective, defensible decisions in selecting, purchasing, or formulating deicers for snow and ice control.
In addition, there is conflicting information regarding the relative impact of NaCl, MgCl2, CaCl2 and other deicers to Portland cement concrete (PCC), since the evaluation of such impacts was often conducted using different brands and concentrations of deicers and followed different types of laboratory test protocols. There is a lack of accelerated laboratory tests of PCC durability in the presence of deicers, which would take into account of wet-dry cycles, freeze-thaw cycles, and mechanical stresses typically experienced by the DOT field concrete structures and components. Some deicers may pose detrimental effects on the DOT concrete infrastructure and thus reduce concrete integrity and strength. Research is needed to evaluate the risks of deicers that are of interest to DOTs and to identify/evaluate best practices that can be used to protect the roads and bridges from deicers.
II. RESEARCH OBJECTIVE
The objectives of this research are to establish and demonstrate a quantitative multi-criteria approach to decision-making or optimization in selecting or formulating liquid deicers for snow and ice control, and to improve the knowledge of the performance characteristics of the blended liquid products and their impacts on the transportation infrastructure.
To this end, this research will start with an agency survey in order to collect information on: what deicer products and their concentrations to test in this research, what deicer attributes to quantify or characterize, what laboratory tests to use (including the wet/dry and temperature cycles as well as mechanical stresses to simulate), the priority of various deicer attributes in the deicer selection process, etc. This research will establish standard laboratory test protocols to evaluate PCC durability in the presence of deicers, which will realistically simulate the field experience of DOT concrete structures and pavements in the highway environment.
Based on the survey responses, a design of experiments will be conducted in order to minimize the number of experiments needed to illustrate the complex relationship between the composition of the blended liquid deicers and their performance and impacts. With the statistically sound experimental design, the data obtained from the various laboratory tests will be analyzed and modeled using artificial neural networks (ANNs) and response surface methodology (RSM). ANNs provide non-parametric, data-driven, self-adaptive approaches to information processing. They are powerful in tackling complex, non-linear problems and have been successfully used to model, predict, control and optimize non-linear systems.
In the context of multi-criteria decision making (MCDM), rational decision-making guidelines can be developed to help winter maintenance managers in selecting the most suitable deicers for conditions in their agency or local jurisdiction, taking into account the array of factors involved. The composition and value of the deicer composite index could change with the changes in user priorities and objectives. As such, this research will also conduct “what-if” analysis to illustrate how the optimum deicer formulation may change depending on the specific user scenario, and how under each user scenario the formulation can be optimized to allow the most applicable deicer to be selected based on its relative ranking.</t>
  </si>
  <si>
    <t>ABC30, Performance Measurement</t>
  </si>
  <si>
    <t>Performance Measures for Highway Stimulus Spending and Related Economic Impacts</t>
  </si>
  <si>
    <t>Scope: As a global recession of unprecedented scale threatens to engulf much of the United States’ economy, congress and federal policy-makers have assembled a large package of government “stimulus” spending that can reverse job losses and revive consumer demand. Economists identify road construction as a good way to create jobs in the short-term and to boost economic productivity in the long-term by lowering transportation costs. As a result, highways feature prominently in the proposed Congressional economic stimulus bill and about $30 billion in new federal money for pavements, bridges, and tunnels is likely to flow to state departments of transportation (DOTs) in 2009 and 2010.
For the highways element of the economic stimulus package to be successful, state DOTs must quickly roll out projects that get stimulus money to construction sector and into the broader economy. With a significant commitment of taxpayer funds at stake, DOT leaders, external stakeholders and the public will watch closely and expect results. Even with “shovel ready” project designs considered ready to go, DOT staffs will face great pressure to finalize plans, bid, let and construct a huge volume of projects over the next 12 to 36 months. Performance management - the systematic process by which organizations analyze system and organizational performance and use performance data to make investment and budget decisions– will play an important role in helping DOTs meet the stimulus challenge and respond to federal accountability demands.
Many state DOTs already use performance measures to manage bridge and pavement conditions, congestion, highway safety and project delivery. The challenges inherent in spending a massive amount of stimulus funds, however, suggest that current performance measurement and management tools need to be enhanced and expanded to provide the accountability and economic impact information required to be successful. High-level language in the federal stimulus bill requires monitoring of stimulus spending by the Federal Highway Administration, but how it will be implemented is unclear. In the coming months, many DOTs may also craft a range of new performance management practices that help ensure their stimulus funds are spent in a timely, efficient and accountable manner. As with any new program, however, states will be looking to their peers and experts to build on good analysis and measurement practices.
A synthesis of DOTs’ pre-existing and emerging performance analysis methods  related to economic impacts and project delivery for managing performance of transportation stimulus spending will be an important resource for all state DOTs. The synthesis should include, but is not limited to identification of innovations, good practices, and lessons learned in the following areas:
·         Stimulus Project Spending Performance – Approaches for measuring progress in spending stimulus funds, such as capturing and reporting information on project lettings and payments to contractors;
·         Growth in Program Size – Approaches for determining whether stimulus funding is either causing delay in currently programmed projects or replacing funds cut from state programs, versus expanding states’ programs;
·         Stimulus Project Schedule Performance  – Approaches for measuring progress in delivery of projects on schedule, from meeting important milestones like bidding, letting, to completion of final construction;
·         Economic Impacts of Stimulus Spending – Consistent methods, including actual measured data and appropriate, responsible models and formulas, for translating stimulus project spending into statewide and nationwide jobs created, income added, and GDP impacts or other economic indicators by type of projects (e.g. repair, rehabilitation, reconstruction, new, highway, bridge, etc.) and the amount of jobs that are likely to be sustained or created. This should include identification of available best methods that identify direct impacts (e.g. wages), indirect impacts (e.g. employee wages that have multiplier/ripple effects), and possibly facility-dependent impacts (e.g. the extent to which facility is essential  for just-in-time delivery or other services without businesses may suffer losses)
The synthesis should focus on best practices, innovations, and methodologies, including but not be limited to:
·         Use of existing or new performance measures and analysis methods to support stimulus-related analysis needs as described above ;
·         Value of existing  program and project management data sources, such as FHWA’s Fiscal Management Information System (FMIS), states’ Construction Management Systems, or payroll data collected by states under Davis-Bacon wage requirements;
·         Use by DOTs of comprehensive economic models or sketch planning tools for measuring job, income and output impacts, including the duration of the jobs created;
·         Data sources and techniques for consistent and sustainable, ongoing data collection and the analysis of actual, (measured) such as reporting by contractors  and estimated (modeled)  economic (direct and indirect) related to construction projects,
·         Key gaps in data, analytic tools, and policy frameworks; and
·         Tools for communicating economic impacts and projects results in non-technical , easy to understand terms  on a regular basis (e.g. quarterly)</t>
  </si>
  <si>
    <t>AP050, Bus Transit Systems</t>
  </si>
  <si>
    <t>Transit Corridor &amp; Network Analysis</t>
  </si>
  <si>
    <t>Transit agencies conduct transfer analysis to help plan transfer centers, interlines and timed transfers.  Travel models typically take one-half the headway of the connecting route as the average wait time to transfer, and then apply a value-of-time weight to calculate a transfer penalty to estimate an OD travel matrix.  Presently there are few tools service planners can use to analyze customer travel that uses multiple routes or modes to complete trips in a corridor or network.
High frequency grids are the most customer attractive network design, but they are only sustainable in transit intensive areas.  Timed-transfer is sustainable with less frequent service and less intensive transit use, and is commonly employed by small transit systems and in metro areas to facilitate crosstown and suburban travel.  However, travel models do not accommodate timed-transfer and its effects on travel behavior and service effectiveness are difficult to estimate.  This leads to erroneous ridership estimates and does not support good corridor or network service design.
FTA New Starts and Small Starts for LRT and BRT projects are examples of restructuring routes into trunk-and-feeder corridors which force new transfers that may be perceived negatively.  However, new Light Rail lines with well designed feeder services have attracted substantially more riders than the one-seat express services they replaced.  The current tools appear to overstate the problems of transfers, making it difficult to demonstrate user benefits.  In fact, only corridors and networks of well connected routes and modes can possibly accommodate today’s dispersed travel patterns in a sustainable fashion.
It is becoming evident that new technologies such as Geographic Information Systems (GIS) and comprehensive data available from automatic passenger counters (APC) will facilitate the synthesis of theory with empirical information for transit network analysis.  It is envisioned that this research is aimed at service planning, but should accommodate regional demand modeling as well:
·         A thorough literature review (especially recent innovative approaches) of the theory and practice of network analysis as applied to transit services, with emphasis on concepts of travel flow, travel cost, the physical network, service configuration and measures of accessibility.
·         An investigation of practitioners’ techniques currently used or desired to analyze transit corridors and networks.
·         An assessment of the above to recommend a framework and research project to identify and develop promising methods for transit corridor and network analysis.</t>
  </si>
  <si>
    <t>ANB10, Transportation Safety Management</t>
  </si>
  <si>
    <t>Evaluation of Safe Routes to School Programs</t>
  </si>
  <si>
    <t>http://rns.trb.org/dproject.asp?n=18724</t>
  </si>
  <si>
    <t>Problem Statement:
As of January 2008, forty-three stats had announced funding for statewide Safe Routes to School programs involving nearly 2,000 schools. It is critical to articulate the impacts of the Safe Routes to School programs thus far and to address challenges in order to sustain the momentum generated by this very young federal program.
Objectives:
The objectives of the research are to understand how and with what impacts is the Safe Routes to School legislation being implemented; research if there is a minimum Level of Service for school children walking to school; research addresses the liability concerns and societal barriers implementing Safe Routes to School initiatives.</t>
  </si>
  <si>
    <t>Early Integration of Technology Transfer into the Research Process</t>
  </si>
  <si>
    <t>http://rns.trb.org/dproject.asp?n=15604</t>
  </si>
  <si>
    <t>Objective
 Research is needed to assess the following:
Current practices for planning for transferability in research project conceptualization (scanning, benchmarking, etc.)
Potential for innovation in building transferability into the process (systems approaches, stakeholder-driven processes, etc.)
Integration of transferability into the selection and funding process</t>
  </si>
  <si>
    <t>ABG30, Technology Transfer</t>
  </si>
  <si>
    <t>ADA40, Transportation Needs of National Parks and Public Lands</t>
  </si>
  <si>
    <t>The Economic Impact of Transportation Systems on Gateway Communities</t>
  </si>
  <si>
    <t>The introduction of public transportation systems in the national parks and other public lands is has been prompted by the growth in both the number of visitors and the number of motor vehicles used to visit public lands.  There are 108 public transportation systems in operation at 96 national park units, and a smaller number of systems at areas operated by other public lands agencies.  Growth in visitation, combined with increasing use of private automobiles to access these public lands, produces traffic congestion, which results in increased delays and visitor frustration.  Traffic congestion also causes air and noise pollution, threatens natural and cultural resources, and can degrade the visitor experience.
The introduction of ATS into national parks is intended to preserve and protect resources while providing safe and enjoyable access to, and within, the national parks by using sustainable, appropriate and integrated transportation solutions.  The success of ATS in national parks is measured by its effectiveness in. (1) providing a high quality visitor experience, (2) protecting natural and cultural resources, (3) providing for and/or improving the efficiency of transportation systems (4) providing for the health, safety and security of the public, and (5) promoting sustainable partnerships, including those with gateway communities.
Common to all gateway communities is the need to preserve, promote and develop community character and values.  Among the more important values to gateway community businesses is that of continued economic development.  The proposed implementation of public transportation in public lands generates many reactions, often creating a fear of negative impacts to continued economic stability and growth for local and regional businesses.  The implementation of public transportation in public lands can affect visitation levels and potentially have a ripple effect to certain businesses and service sector segments in particular.  The effects are perceived across a range of values and viewpoints, and are often both positive and negative depending upon the viewpoint.  Whatever impact public transportation systems in the national parks and other public lands has in creating jobs, lengthening the stay of visitors, or possibly redirecting visitor distribution patterns both spatially and temporally, limited definitive and measurable data exists that accurately portrays the direct and indirect economic impact that public transportation has on a gateway community or region.
Despite the potential of public transportation to promote economic activity in nearby gateway communities, there is a need for further research to accurately define and measure the direct and indirect economic impacts of the introduction of public transportation in public lands on gateway communities.  Business people in gateway communities want to know whether the availability of public transportation, and in some cases, restrictions on motor vehicle use, contributes to attracting or discouraging visitors to gateway communities, and by doing so whether public transportation results in positive or negative economic impacts on these communities.  The limited understanding of the impacts upon gateway communities of introducing public transportation in public land areas poses a significant impediment to transit planning and implementation given the anxiety uncertain impacts generate among community business interests.
The research objective is to develop and implement a rigorous empirical methodology for isolating and measuring the economic impacts of transportation systems in public lands on gateway communities. Although the primary focus is on the effects of introducing public transportation service, the impact on local economies of increased traffic congestion (i.e., a consequence of the “do nothing” alternative under increasing visitation) is of interest as well.
Direct evidence of the local economic impact of transportation systems is not evident from simple before and after studies, because of the presence of changes in other factors that affect visitation (e.g., national and regional economic changes, etc.).  Analytical problems may also arise because of a lack in consistency in the way in which visitation is measured.  Perhaps the greatest analytical challenge is the development of an approach that is capable of isolating the impact of transportation system changes from all of the other factors that affect visitation and economic impacts to gateway communities.</t>
  </si>
  <si>
    <t>ABE50, Transportation Demand Management</t>
  </si>
  <si>
    <t>Best Practices on TDM Applications in Regional Long-Range Plans, Land Use Plans/Smart Growth</t>
  </si>
  <si>
    <t>Description of Need and Research Objectives
A growing number of communities are incorporating TDM applications in regional long-range transportation and land-use planning processes.  This is due in part to the growing emphasis on “Smart Growth,” sustainable development, and other planning practices that strive to integrate trip reduction strategies into a comprehensive vision of regional community mobility and accessibility. 
Research in this topic area would identify TDM strategies and are compatible and complementary to long-range planning, reasonable goals established for TDM, and planning techniques and tools that successfully integrate TDM measures into planning approaches and documents.  Additionally, the research would highlight effective characteristics of TDM elements included in long-range and land use plans.</t>
  </si>
  <si>
    <t>Identifying and Using Existing Data Sources to Support the Use of Other or Less Traditional Performance Measures</t>
  </si>
  <si>
    <t xml:space="preserve">PROBLEM:    The data sources and data collection techniques used to measure outputs or outcomes of the services or products a transportation agency provides, typically include snow plowing, highway and bridge reconstruction contracts, etc.  There are likely other or less traditional uses that have not been considered.  There may even be some that are measured by others, including local planning, health, economic, etc.  The use of other or less traditional performance measures may result in benefits to sustainable transportation, the environment, quality of life, and social equity. There may be creative uses that are not widely known or may not have been considered, and therefore unlikely to be implemented.
OBJECTIVE:    To identify and use existing data sources to support the innovative use of other or less traditional performance measures by researchers, designers and practitioners. </t>
  </si>
  <si>
    <t>ABC20, Management and Productivity</t>
  </si>
  <si>
    <t>Governing by Network</t>
  </si>
  <si>
    <t>PROBLEM: Governing by Network is an emerging model of how state DOTs and other transportation providers are delivering services and programs once exclusively furnished by government. At the Chicago Summer TRB meeting, William Eggers, who along with former Mayor of Indianapolis Steven Goldsmith co-authored a book of the same name, presented the topic to a full house of conference attendees. The prototype, which is still emerging and being shaped is becoming more used in how the public sector and state DOTs provide services. The Governing by Network model uses third party providers, including the private sector, NGO’s and other organizations less commonly associated with federal and state government.             
OBJECTIVE:  So what does this mean to state DOTs and public transportation providers? What are the model’s best uses and limitations in the public sector and transportation agencies in particular? Is this a truly new model that will remain sustainable or is its life span limited? These and other questions are coming to light as the Governing by Network model becomes more common.
  Questions:
·         How prevalent is the use of Governing by Network in federal, state and local government currently? What are the projected estimates to its deployment now is state governments/DOTS and in the years ahead?
·         What are the key indicators of success for the model? How is success defined and who determines whether the thresholds have been met?
·         What State DOTs have a model in place or process that might reasonably be defined as using the Governing by Network approach and what are the lessons learned for others considering this approach?</t>
  </si>
  <si>
    <t>Increasing the Safety of Interactions between Pedestrians and Large Commercial Vehicles in Urban Areas</t>
  </si>
  <si>
    <t>http://rns.trb.org/dproject.asp?n=14176</t>
  </si>
  <si>
    <t>RESEARCH PROBLEM STATEMENT
Pedestrians and large commercial vehicles (buses, tractor-semitrailers, tractor-double trailers, and tractor-triple trailers) routinely interact in the urban road network. The increased demand for freight transportation coupled with the desire to make urban areas more walkable and sustainable, have resulted in high expectations for engineers and other transportation professionals to provide efficient, effective, and safe transportation systems to accommodate these users. However, there is limited knowledge about the interaction of these two user groups and the critical factors that increase the risk of collisions between them. Because of the limited understanding of the potential safety problems and solutions associated with their interaction in urban areas, few jurisdictions have developed specific engineering, education, and enforcement strategies to target this issue.
Research shows that approximately 10-20% of collisions involving pedestrians and large commercial vehicles result in fatalities and 80-90% result in serious injury (TAC, 2009). However, little is known regarding the causation factors associated with these collisions.
RESEARCH OBJECTIVE
This project will create a best practices guide for improving the safety of interactions between commercial vehicles and pedestrians in urban settings. This will include the development of guidelines for the planning, design, and operation of facilities that accommodate large commercial vehicles and pedestrians in an interactive manner. The research will also develop planning, engineering, education, and enforcement strategies that can be used to accommodate these groups more safely in urban areas. The main objective of this research is to conduct a detailed analysis of State and/or national data bases to quantify the magnitude and characteristics of interactions and collisions between pedestrians and buses and trucks, including identifying some of the related road engineering, behavioral, and vehicle design factors. This guide will provide an enhanced knowledge base and understanding upon which urban areas can more rationally and effectively engineer systems that safely accommodate trucks, buses, and pedestrians in urban areas. The guide will also provide case study examples and/or recommendations on education and enforcement strategies that could be used to reduce the risks of such collisions.
To the extent practical, the study and guide will review available literature regarding vehicle-related factors that may impact the safety of pedestrian-commercial vehicle interactions. For example, blind spots, “crash-friendly” front ends of trucks and other types of vehicle designs that may be harmful to pedestrians when they are involved in a collision with a commercial vehicle. The study will not, however, involve any original research to test different front end designs relative to their risks to pedestrians.
Research tasks are expected to include:
1. Literature review
2. Crash analysis
3. Develop guidelines/case studies
4. Final best practices guide and recommendations</t>
  </si>
  <si>
    <t>Guidelines for Establishing, Sustaining and Evaluating Inter-Disciplinary Teams</t>
  </si>
  <si>
    <t xml:space="preserve">Results of NCHRP synthesis on CSS and multi-disciplinary teams revealed a need for establishing guidelines for the development of multi-disciplinary teams including who needs to be a part of these teams, how these teams should operate, what methods of engagement are most useful for team effectiveness, and how should the team’s performance including satisfaction of team members be measured.  The NCHRP project 8-68 may meet the needs of this topic. </t>
  </si>
  <si>
    <t>Benefits of Community Involvement to Project Delivery</t>
  </si>
  <si>
    <t xml:space="preserve">This research would focus on identifying the tangible benefits of community involvement as part of project delivery including responsibility and ownership in CSS processes and outcomes.  The benefits would include increased occurrences of financial partnering, improved public relations, expedited project schedules, sustainable transportation solutions, etc.  This research is closely related to the current NCHRP 15-32, Quantification of the Benefits of CSS and the results of this research would help focus the research for this project. </t>
  </si>
  <si>
    <t>ADD30, Transportation and Land Development</t>
  </si>
  <si>
    <t>Implications of Habit Formation and Retention, and Perception of the Built Environment on Time Use, Travel Choice, and Location</t>
  </si>
  <si>
    <t xml:space="preserve">Problem Statement
Researchers in fields such as environmental psychology, social learning, and public health have shown that human perception is a major shaper of behavior. Research is needed that explores the ability to transfer approaches from these disciplines to the understanding of the factors that influence travel and location choice. Ecological models used in public health explain factors that shape household- and person-level choices affecting human health. Decision-choice models used in environmental psychology predict how the built environment shapes perception and habits. Recent work on the interface between stated and revealed residential location and travel
choice processes suggest that habit formation and retention may override the anticipated travel benefits that are assumed to be gained from more transportation-efficient approaches to land development. That is, households that do relocate to more transit-supportive environments often continue to drive for most of their daily activities, although it is not known how long this habit persists.
Approaches to explaining behavior from social learning and psychology have been successfully applied to guide programmatic efforts to improve health and the environment. Efforts to reduce cigarette smoking and to promote recycling have been successful in achieving their behavioral objectives through mechanisms that effect the perceptions of the American public about their quality of life. Research is required that tests the adaptability of these approaches to understanding habit formation and retention to travel and location choice through a variety of survey and other research methods. This research is particularly important to improve our understanding of the factors that influence the choice to walk and bike for both utilitarian and recreational purposes. Nonmotorized travel is particularly sensitive to the ways in which we perceive the quality of the built environment in terms of aesthetics, safety, comfort, social interaction, and other factors.
This research is supported through recent advances in activity-based modeling targeted at improving the understanding of actual distributions of time across activities located in space. Human perception and habit formation are not foreign to transportation. Level of service is defined by the Institute of Transportation Engineers as a function of the perceived relationships between travel time and distance. Through this interdisciplinary lens, the research can enrich the dimensions and even theoretical approaches through which travel and land use decisions are viewed and modeled.
Proposed Research
This research will test and apply research methods developed in other areas of inquiry focused on understanding human behavior through a set of tasks that would include a review of literature and experiences, development of strategies and opportunities for the transference of theoretical and applied models of behavioral research, proposed strategies for data collection, pilot survey design, conducting survey, data analysis, and recommendations for future research. </t>
  </si>
  <si>
    <t>ADD50, Environmental Justice in Transportation</t>
  </si>
  <si>
    <t>Climate Change, Displacement, and EJ Populations</t>
  </si>
  <si>
    <t>http://rns.trb.org/dproject.asp?n=14034</t>
  </si>
  <si>
    <t>Development projects, conflicts, and disasters can cause displacements of persons or communities. It is anticipated that with global climate change the number of displaced persons may be unprecedented. It also had been suggested that the low-income persons would be affected disproportionately. Some evidence of these impacts have been observed following Hurricanes Katrina, Rita, and Wilma. Of particular concern has been the impacts of the displacements on other communities and public transport systems, particularly community-based systems or those in rural or small urban areas. There is particular interest in understanding these impacts as related to women given their roles as careworkers and caregivers. Exact nature of the question(s) to be addressed What are the impacts of displaced persons on local public transport systems? What transport resources do displaced persons need to aid in recovery? Ideas about potential methodology Survey of transport providers in receiving communities; interviews/survey of displacement persons; analysis of emergency/disaster plans as related to transport of displaced persons. Policy or planning relevance Emergency management, emergency preparedness, disaster recovery, transport coordination</t>
  </si>
  <si>
    <t>The Economic Impact of Public Lands Transportation Systems on Gateway Communities</t>
  </si>
  <si>
    <t xml:space="preserve">Problem Statement:
Growth in visitation to national parks, wildlife refuges, forests, conservation areas, historic monuments and other public land areas, combined with increasing use of private automobiles to access these sites, produces traffic congestion, which results in increased delays and visitor frustration. Traffic congestion also causes air and noise pollution, threatens natural and cultural resources, and can degrade the visitor experience. Transportation system changes, such as the introduction of transit service or traffic management strategies in public lands is prompted by the growth in both the number of visitors and the number of motor vehicles used to visit public lands. There are over a hundred visitor transportation systems in operation at national park units and areas managed by other public lands agencies.
The introduction of visitor transportation systems is intended to preserve and protect resources while providing safe and enjoyable access to, from and within public lands by using sustainable, appropriate and integrated transportation solutions. The success of such transportation systems is measured by its effectiveness in: (1) providing a high quality visitor experience, (2) protecting natural and cultural resources, (3) providing for and/or improving the efficiency of transportation systems (4) providing for the health, safety and security of the public, and (5) promoting sustainable partnerships, including those with gateway communities.
Common to gateway communities is a desire to preserve, promote and develop community character and values. Among the more important values to gateway community businesses is that of continued economic development. Changes to transportation systems in public lands generate many reactions, often creating a fear of negative impacts upon continued economic stability and growth for local and regional businesses. The implementation of transit service or traffic management strategies public lands for congestion or environmental impact mitigation purposes can affect visitation levels and potentially have a ripple effect to certain businesses and service sector segments in particular. The effects are perceived across a range of values and viewpoints, and are often both positive and negative depending upon the viewpoint.
Despite the potential for traffic congestion relief strategies to promote economic activity in nearby gateway communities, further research is needed to accurately define and measure the direct, indirect and induced economic impacts on gateway communities resulting from the introduction of visitor transportation systems to serve public lands. Businesses and residents in gateway communities want to know whether congestion relief strategies, including in some cases, restrictions on private vehicle use, contribute to attracting or discouraging public lands visitation, and whether the introduction of visitor transportation systems in particular, result in positive or negative economic impacts on gateway communities. The limited understanding of the impacts upon gateway communities of introducing transit service in public land areas poses a significant impediment to system planning and implementation given the anxiety that uncertain impacts generate among community business interests.
Whatever impact transportation system changes in public lands have in modifying visitor spending patterns, creating jobs, lengthening the stay of visitors, or possibly redirecting visitor distribution patterns both spatially and temporally, limited definitive and measurable data exist that accurately portray the direct, indirect and induced economic impacts that public transportation systems have on a gateway community or region. Past research in this area has identified several types of economic impacts that public transportation systems have on gateway communities, such as changes in visitor spending, shifts in demand for businesses in different sectors, and local funding contributions to pay for transit and operating expenses. As the next step, research now needs to focus on finding quantitative measures of changes in visitor spending. </t>
  </si>
  <si>
    <t>http://rns.trb.org/dproject.asp?n=13869</t>
  </si>
  <si>
    <t xml:space="preserve">Transit agencies conduct a transfer analysis, either electronically with new fare collection technologies, or manually by collecting transfer slips and sorting them into a From/To matrix. This information is helpful in planning transfer centers, interlines and timed transfers. Models of travel behavior typically take one-half the headway of the connecting route as the average wait time to transfer, and then apply a value-of-time weight to calculate a transfer penalty. Transfers are considered in service planning, but there are few tools to use for analyzing their effect on ridership between, say, crosstown routes.
High frequency grids are the most customer attractive network design, but they are only sustainable in transit intensive areas. The timed-transfer is designed to offer an attractive connection that is sustainable with less frequent service and less intensive transit use. Timed transfer is commonly employed in smaller transit systems and in larger metro areas to facilitate crosstown and suburban travel patterns. However, travel behavior models do not usually accommodate timed-transfer, often using half the headway. This leads to erroneous ridership estimates and does not support good corridor or network service design.
FTA New Starts and Small Starts for LRT and BRT projects are examples of restructuring routes into trunk-and-feeder corridors that force new transfers and may be perceived negatively. However, new Light Rail lines with well designed feeder services have attracted substantially more riders than the one-seat express services they replaced. The current tools appear to overstate the problems of transfers, making it difficult to demonstrate user benefits. In fact only corridors and networks of well connected routes, and modes can possibly accommodate todays dispersed travel patterns in a sustainable fashion.
The transit industry may have deluded itself with the fiction of the unlinked trip. No rider makes such a trip! Origin-Destination data represent the linked trip, but apparently these data are costly to collect and awkward to apply to the development of transit corridors and networks. To develop an effective transit network, it is necessary to synthesize transit service configuration, performance evaluation and the urban environment through the application of appropriate theories and techniques.
OBJECTIVE
Phase I
A thorough review of the theory and practice of network analysis as applied to transit.
An investigation of the practitioners requirements and available techniques and resources to develop and analyze multimodal transit corridors and networks.
An assessment of the above to recommend a methodological framework for transit network analysis.
Phase II
Identify available methods to provide the analytical framework and those that need to be improved and developed.
Develop and synthesize a core set of methods.
Illustrate application. </t>
  </si>
  <si>
    <t xml:space="preserve">http://rns.trb.org/dproject.asp?n=20835 </t>
  </si>
  <si>
    <t>*Note: same project repeated in 2009 but different committee</t>
  </si>
  <si>
    <t>Inventory and Assessment of Transit Willingness-to-pay in National Parks and Public Lands</t>
  </si>
  <si>
    <t xml:space="preserve">Research Problem Statement:  Public transportation patrons typically use transit to save time, save money, or the trip quality and convenience is better than there private automobile.  These factors have traditionally determined an individuals’ willingness-to-pay and a transit service providers fee structure for service.  
The Alternative Transportation in Parks and Public Lands program authorized in SAFETEA-LU provides for the development of transportation alternatives to private motor vehicle transportation for to accommodate visitor access and mobility needs at congested national parks and public lands and/or in environmentally sensitive areas where private motor vehicle travel is inappropriate.  
While public transportation systems have been implemented in various National Parks and Federal Lands the service type, fee structure, fee collection systems and type of federal land or National Park differ (e.g. through park, destination park, urban, rural, etc.). Also, the type of public transportation system implemented vary with regard to being mandatory or voluntary use.  
With the implementation of the Alternative Transportation in Parks and Public Lands federal land managers will need a better understanding of visitors willingness-to-pay based on fare pricing, service type, federal land/ National Park unit type and characteristic, etc.  
 Objective:  The research proposed for this effort will provide of a greater understanding and lessons learned of public transportation in areas where the tradition incentives for using alternative modes of transportation do not apply. As our National Park continue to be “loved to death”, visitation continues to climb and investment decisions are being made by federal land managers with minimal documentation and understanding how to pay for sustained operation, the timing of this research is critical. The objective of this research will give decision makers a greater understanding of the alternatives from which they have to work from on how to pay for transit system, a visitors sensitivity for paying for that use, a visitors willingness-to-pay based on type of federal land, how federal land managers may collect those payments (e.g. entrance gate, fare box) and a state-of-the-practice document that can be used as a resource from which to base investment decisions, based on effective strategies and research.
Research Proposed:  The proposed research study is intended inventory and to explore through case studies and surveys of managers and visitors their experience with transit use, the dependent and independent variables that affect a visitors willingness-to-pay, how that differs between the type of National Parks/ Federal Land units based on there unique settings and characteristics, the types of fee structures and collection systems that may be feasible and then finally how those funds may be used to provide for sustainable and operational public transportation systems.   </t>
  </si>
  <si>
    <t>Guidelines for Using Environment-Friendly Concrete (EFC) in Transportation Infrastructure</t>
  </si>
  <si>
    <t>I.        Research Problem Statement
          Is the concrete industry, which comprises of educators, researchers, owners, architects, engineers, specifiers, materials suppliers, and constructors, contributing its fair share to a sustainable development by preserving the environment? The answer is probably no and there is a vast majority which even does not recognize that there are environmental concerns related to concrete. A sustainable development promotes the use of energy and natural resources in a way that assures long-term viability of human life. This viability is threatened by depleting energy and raw material resources and unacceptable levels of environmental pollution from solid, liquid, and gaseous waste products (1). The concrete industry is one of the largest consumers of natural resources. A recent statistics shows that the concrete industry annually utilizes approximately 1.6 billion tons of cement, 10 billion tons of sand and rock, and 1 billion ton of mixing water worldwide (2). The production of each ton of cement requires approximately 1.5 tons of limestone, a natural resource, and is extremely energy-intensive manufacturing, which requires considerable amounts of both fossil fuel and electrical energy. In addition to consuming large natural resources and energy, the production of each ton of cement is accompanied with 1 ton of carbon dioxide (CO2), one of the gases primarily responsible for global warming--greenhouse gas. The contribution of portland cement industry to the world’s total CO2 emissions is about 7% (3).
          Can we eliminate environmental concerns related to concrete? Probably not, but certainly we can minimize them to a level where they are no longer a threat to sustainable development. For example, we can minimize the use of portland cement by utilizing supplementary cementitious materials, which include fly ash, silica fume, and slag. These days concrete can be produced by replacing as much as 50 to 60% of portland cement with such supplementary cementitious materials (4). However, from supply and demand perspective these supplementary cementitious materials, which are produced from coal ash and metallurgical slag, are still very much underutilized. By utilizing supplementary cementitious materials, concrete industry will help solve environmental problems associated with other industries. Disposal of unutilized coal ash and metallurgical slag is a serious human health concern since these materials are toxic and can easily pollute land, air, and groundwater. When used in concrete most harmful metals in these materials are safely immobilized by the hydration reactions of cement.
          Aggregates constitute about 80% of the volume of concrete and the supplies of natural rock and sand are certainly not unlimited. We need to look at alternate sources of aggregates, which do not consume natural resources. Synthetic lightweight aggregates can be successfully used in certain applications. Production of illuminite and titanium oxides results in a semimetallic waste, which can be used to produce concrete with a density higher than that of normal concrete. The compressive strength of such concrete is about 4,000 psi and it has applications in retaining walls and foundations (5). In Norway recycled glass from jars and bottles has been experimented both as a normal weight aggregate and as synthetic lightweight aggregates in concrete.    
          Concrete industry has not kept up pace with other industries in recycling its constituent materials. Recycling of abandoned or demolished concrete infrastructure in the form of aggregates will help conserve natural resources and also solve the problem of disposing them. There are successful case histories of such recycling but the applications are still very limited, particularly in the transportation industry. Similarly recycled water from ready-mixed concrete plants has been successfully used as replacement for fresh potable water in concrete mixes.
          Designing and maintaining transportation infrastructure for service life of 100 to 150 years with preventative maintenance and without the need for major repairs would be a major contribution to sustainable development (6). Currently a typical design life is 50 years after which the infrastructure either undergoes a major rehabilitation or replacement, which is a waste of natural resources initially utilized, and it demands new resources. A crack-free and watertight concrete component or system is a key to achieving a long service life since the development of cracks, particularly at early ages, and diffusion of water in concrete initiate most deterioration mechanisms such as reinforcing steel corrosion, freezing and thawing damage, alkali-silica reaction, and sulfate attack. Cracks at early ages in many instances are associated with the use of large quantities of cement, which can be minimized by utilizing supplementary cementitious materials. Thus it appears that the factors that contribute to a sustainable development complement each other. It is possible to have an environment friendly concrete (EFC) of long service life by utilizing less portland cement, more supplementary cementitious materials, aggregates other than natural rocks and sand, and recycled water.
          We can go beyond conserving natural resources and limiting CO2 emissions in the production of concrete. Specially prepared concrete surfaces, incorporating ultra-fine titanium oxide (TiO2) powder with photocatalytic properties, can convert nitrogen oxides (NO2), which are atmospheric pollutants, to harmless forms such as NO3 that are easily washed away by rain. Nitrogen oxides are generally present in urban areas and in tunnels. With such service to humanity concrete will truly be viewed as a friend of the environment.
II.      Research Objective
          The objective of this research is to develop a set of guidelines that promote and facilitate sustainable development and the use of environment-friendly concrete (EFC) in transportation infrastructure. These guidelines will be developed based on the research that has been performed so far on the environment-friendliness of concrete and its constituent materials. It is envisioned that the following approach will be used in the development of these guidelines: 1) minimize the use of portland cement, 2) maximize the use of supplementary cementitious materials, 3) minimize the use of natural rocks and sand as aggregates, 4) maximize the use of alternate aggregate types, 5) maximize the use of recycled concrete as aggregate, 6) maximize the use of recycled water from ready-mixed concrete plants, 7) maximize the use of non-potable water sources, 8) maximize the use of materials that enhance the performance of substandard aggregates and mixing water, 9) achieve a service life of 100 to 150 years, and 10) use concrete as a pollution control tool in addition to its normal function.
          In order to achieve the objectives of this research the following tasks will be performed: 1) perform a survey of published domestic and foreign literature, 2) perform a survey of all State Departments of Transportation, various agencies of the U.S. Department of Transportation, the Departments of Transportation of various local governments, U.S. Green Building Council (USGBC), educational and research institutions, materials suppliers, constructors, and other organizations concerned with the environment friendliness of concrete, (3) synthesize the information in the published literature and the survey, (4) define EFC, (5) develop guidelines for the use of EFC in transportation infrastructure, (5) develop a rating system of transportation infrastructure similar to that developed by USGBC for buildings, 6) develop marketing tools in the form of presentations, short-courses and workshops to promote EFC, and (7) identify areas of research that will promote the use of EFC in the future.</t>
  </si>
  <si>
    <t>AFH10, Construction Management</t>
  </si>
  <si>
    <t>Implementation of the Use of New Materials into Highway Construction Practice, including sustainable materials</t>
  </si>
  <si>
    <t>I.     Research Problem Statement
The U.S. infrastructure is experiencing significant deterioration. This deterioration has resulted in significant research programs in testing, evaluation, repair, and development of new materials, with the intent of producing more durable, longer lasting infrastructure systems. The performance of a system is only as good as it’s weakest link. Construction managers, engineers, and contractors are often reluctant to use new materials due to limited availability of long-term performance data. Past experience of implementing new materials unsuccessfully have resulted in confusing recommendations by researchers and state highway agencies (SHAs).
Because there is often a relatively high initial cost, higher risks and unknown long-term performance associated with the use of such materials, many states are reluctant to take on such a venture. Thus, the implementation of high performance materials is stifled at both the SHA and contractor levels. In addition to the resistance by SHAs and contractors, developers of new infrastructure materials are often unable to implement the use of these materials due the high costs associated with laboratory and field performance testing and long time requirements for the acceptance of such materials by regulatory agencies.
Thus, from a materials research perspective, there is a significant research need to develop new materials for infrastructure facilities; however, there is a larger need to develop accelerated test procedures that predict the field performance of new materials. The increased risks and costs associated with implementing the use of these new materials should be overcome by forming partnerships with shared funding and knowledge between various organizations (both public and private). From a construction perspective, there is also a need to determine factors that influence the long-term field performance of newly developed materials. Factors that influence the performance of a material in the laboratory are often not the same factors that influence the performance of a material in the field. Work is needed to identify and document current practices in infrastructure construction and to develop the best practices for implementing the use of new materials.
Research should address the following questions:
a) What are the barriers to implementing the use of new materials?
b)      What are the current practices of SHAs to specify the use of new materials? What are the benefits/problems of these practices?
c)    What are the benefits/problems when using new materials in highway construction?
d) How is construction productivity impacted by the use of new materials?
e)    How does the use of new materials impact initial cost and life cycle cost of highway construction projects?
II.   Research Objective
Investigate methodologies to use new materials and the barriers associated with implementing the use of these new materials. The proposed study could potentially be divided into four (4) research projects, each focusing on one of the following material categories: concrete/reinforcement, asphalt, steel, and composites. The research objective will be achieved through the completion of the following tasks:
Task 1:      Identify processes for implementing new materials into practice with examples of successful implementation plans.
Task 2:      Investigate the tradeoffs between productivity, initial cost, and life cycle cost of construction projects when using new materials.
Task 3:      Identify specific issues/problems and benefits related to new construction materials.
Task 4:      Develop a framework or methodology to quantify the value of change when implementing the use of a new material.
Task 5:      Develop knowledge base for best practices when using non-traditional/new materials.
Task 6:      Develop a model that identifies the potential time savings that results from the implementation of new materials.</t>
  </si>
  <si>
    <t>A Decision Support System for FRP Laminate Strengthening of Bridge Girders Based on Lifecycle-Cost Analysis</t>
  </si>
  <si>
    <t xml:space="preserve">I. Research Problem Statement
Bridge maintenance often leads to situations where bridge officials are faced with tough decisions to make. A classic scenario is that of a deficient bridge that is up for evaluation for which it is not clear whether a full bridge replacement or a limited strengthening operation is better. In general, the alternatives available are:
X Do nothing solution
X Limited strengthening
X Large scale strengthening
X Replacement of superstructure
X Replacement of entire bridge
Obviously, decisions are solely made on cost basis. However, determining of the cost of each alternative is not straightforward simply because of the uncertain nature of the future of most repair schemes. It may cheaper to accept a limited repair alternative, however further work will need to be done in 2 years. On the other hand, a replacement of the superstructure may be costly, but would obviously last a lot longer. In other words, the initial cost is not what should be considered in making strengthening decisions. The approach which relies on the cost over the entire life of the structure is often referred to as "Life-cycle Cost Analysis". As described in the following section, certain information is needed to perform such analysis. Sometimes such information is readily available, but in some cases, it needs to be developed such as the case for FRP strengthening which, falls under limited strengthening solution.
III. Research Objective
The objective of this project is to produce guidelines and recommended procedures for Decision Support System (DSS) which relies on the life-cycle cost analysis for FRP Strengthened structures. </t>
  </si>
  <si>
    <t>Rapid Construction of Pre-Fabricated Substructure Systems for Durable and Sustainable Bridges</t>
  </si>
  <si>
    <t xml:space="preserve">I. Research Problem Statement
A significant number of bridges in the US require rehabilitation or replacement. As a result, increased emphasis is being placed on improving work zone safety and minimizing traffic disruption, while maintaining construction quality and reducing the life cycle costs and environmental impact. The use of innovative prefabricated systems away from the work zone can be an efficient solution, which would address many of the challenges in bridge construction, rehabilitation and replacement, in terms of the systems design effort, on-site construction time, minimum lane closure time, and minimum environmental impact.
Simultaneously with the FHWAs drive for rapid construction (Get in, Get out, Stay out! policy), the bridge community has explored a variety of design and construction options to prevent rapid deterioration of bridge substructures in harsh aggressive environments, such as in coastal areas and splash zones where the support columns would be alternately submerged and exposed. Similarly, problems have persisted in cold climate with the effect of deicing salt. Corrosion protection measures such as epoxy coating of re-bars, have not been successful over long periods of time in aggressive environments such as the Florida Keys. Rehabilitation or replacement of bridge substructure is often costly, and results in traffic disruption, work zone safety issues, and environmental impact. In the early 1990s, few states including Oregon and Florida initiated very expensive plans for galvanizing the corroded epoxy-coated re-bars for substructures of several bridges along their coastlines.
Emergence of fiber reinforced polymers (FRP) as potential solution to these problems has been related to their resistance to electro-chemical corrosion and high strength-to-weight ratio. FRP shells can provide environmental protection, construction form, and structural reinforcement for concrete support columns in a bridge. The possibility of using cathodic protection with the FRP shell adds another valuable opportunity to explore. The proposed column supports could be combined with the bent cap as segmental prefabricated substructure system, thus eliminating the need for individual substructure elements. This could enhance the speed of construction tremendously.
Despite great promise, the use of FRP for prefabricated segmental construction of bridge substructure systems has been limited to few demonstration projects due to lack of appropriate design guidelines, an initiative and a systematic approach by the AASHTO and the bridge community.
II. Research Proposed
The objective of the proposed study is to produce innovative systems, design guidelines, design specifications and recommended construction specifications for pre-fabricated substructure systems made of concrete and FRP, whereby the FRP shell acts as form work, structural reinforcement, and environmental protective jacket for concrete. It may also provide additional cathodic protection for internal reinforcement.
The performing agency will be required to review literature and gather published and unpublished experiences from engineers on these types of systems. The agency needs to further develop design concepts that are suitable for different applications. The agency needs to explore combining the column bents with the bent cap as segmental construction. Examples of such systems exist with traditional piles and bent caps. However, the technology has not yet been transported to the new materials. The agency will then study and determine the behavior of each system analytically and experimentally, and develop limitations and practical applications for each system. Cost-effectiveness of the system needs to be studied as well. The agency will then develop design guidelines and specifications, and recommend field procedures for the construction of these types of system. </t>
  </si>
  <si>
    <t>Guidelines for Sustainable Use of Unconventional Fills</t>
  </si>
  <si>
    <t xml:space="preserve">I.    Research Problem Statement
Stockpiling, treatment and removal of on-site waste materials such as asphalt and concrete and other construction debris and by-products, from construction sites is often time consuming, environmentally challenging, and expensive.  On-site uses of these materials as unconventional fills can accelerate construction time and lead to substantial cost savings.  The use of on-site demolition materials, and off-site or recycled waste materials such as ash, slag, rubber tires, glass cullet and other unconventional materials as fill on transportation projects is becoming increasingly common.  The economic benefits, potential for construction acceleration, plus fulfilling the need to increase recycling efforts in the transportation industry, assures the interest in use of such materials as fill for many years.  
While use of on-site and recycled materials can have short-term benefits, they should only be utilized with engineering knowledge of their long-term behavior; poor selection or improper use of these materials can lead to increased maintenance costs and reduced serviceable life of facilities.  Unfortunately, few studies involve more than a qualitative consideration of the long-term behavior of these materials.
Guidelines are required to assist engineers in the assessment of long term behavior.  The use of unconventional materials involve many factors, including chemical stability, creep-type behavior, stability of the internal structure of solid components of the fill, change in mechanical properties due to aging or environmental changes, and environmental and toxicity effects.  Other important issues may also exist, but there is no comprehensive guidance as to which issues are important, to which materials they apply, or how they should be assessed.
II.    Research Objective
To develop guidelines for assessing the long term behavior of unconventional fill materials in a sustainable infrastructure, enabling the full environmental and cost benefits associated with responsible use of these industrial by-products. </t>
  </si>
  <si>
    <t>AFS10, Transportation Earthworks</t>
  </si>
  <si>
    <t>Bridging the Digital Divide: Ensuring Information Equity for Electronic Communications</t>
  </si>
  <si>
    <t xml:space="preserve">http://rns.trb.org/dproject.asp?n=31742 </t>
  </si>
  <si>
    <t>AP030, Public Transportation Marketing and Fare Policy</t>
  </si>
  <si>
    <t>SCOPE:
Transit agencies are increasingly using electronic forms of customer communication, including social media channels and mobile applications that provide real-time information and rider alerts. These new forms of communication provide benefits to transit properties and their customers, but questions remain about whether these channels can bridge the digital divide, or the perceived gap between people who have access to technology and those who do not.
Two recent TCRP synthesis studies touched upon this issue.  Report 91, Use and Deployment of Mobile Device Technology for Real-Time Transit Information, briefly addressed the question of information equity, defined as “providing real-time information by means of at least two dissemination media in both audio and visual formats.” Report 99 (forthcoming), Uses of Social Media in Public Transportation, identified multicultural considerations as an area for further research.  However, these considerations were not the primary focus of either research effort.
Issues associated with information equity include the following:
·         Access to mobile technology
·         Internet access
·         Broadband access
·         Social media use
·         Access for people with disabilities
·         Linguistic and cultural diversity
Recent research from organizations like the Pew Research Center and the National Telecommunications and Information Administration demonstrates the complexity of this issue.  While most U.S. adults own a cell phone of some kind, smart phone ownership varies by age, race, education, and income.  For example, about 44% of blacks and Latinos use smart phones, compared to 30% of whites.  Internet access and, especially, broadband access also shows variation.  In 2011, 94% of young adults (aged 18-29) used the Internet compared to 41% of seniors (aged 65 and over).  Looking at race, 80% of white Americans had Internet access, compared to 71% of African-Americans and 68% of Hispanics. And in 2010, 70% of urban households had broadband Internet access versus 60% of rural households, highlighting a geography gap.
While people in all age groups use social media, teens and young adults are more likely to use the platforms than older adults. For example, more than three out of four teenagers and adults aged 18-24 had an online personal profile in 2010, compared to 13% of those aged 65 and over.
Finally, some web-based and mobile applications have made it easier for people with disabilities to navigate transit systems, but adoption is not universal.  In one survey from the Pew Research Center, 54% of adults living with a disability use the Internet, compared with 81% of adults who did not report a disability.
Transit operators are taking different approaches to ensure that their electronic information reaches all customers. For example, Chicago Transit Authority makes its real-time service updates available in SMS text-message format to reach customers without smart phones. Washington Metro plans to add next-bus digital signs at major bus stops so that all customers – not just those equipped with cell phones – can access real-time arrival predictions.  The Los Angeles County Metropolitan Transportation Authority writes two separate blogs for its customers – English-language The Source and Spanish-language El Pasajero. 
Complicating the issue is the proliferation of third-party applications. Many agencies, like the Massachusetts Bay Transportation Authority and the New York Metropolitan Transportation Authority, actively encourage the developer community to create web- and mobile-based applications based on agency data.  While agencies can take steps to ensure that as many customers as possible can access digital communications (by making information available by text and voice, for example), they have less control over third-party applications.
The synthesis would explore these issues and identify best practices for ensuring that digital communications reach as many riders as possible.</t>
  </si>
  <si>
    <t>Pricing Strategies for Public Transit Fares</t>
  </si>
  <si>
    <t>I.     Research Problem Statement
Fare policy is one of the most effective tools available to public transit agencies to influence revenue and ridership levels. Often, however, their effectiveness is limited because of inflexible fare structures and lack of market orientation. Innovative pricing strategies may help balance multiple policy objectives, such as revenue and ridership targets, demand management, and social equity considerations. 
Faced with fare revenue shortfalls and declining household income levels transit agencies are looking for ways to improve the effectiveness of their fare policies. Many have adopted private sector models, such as price differentiation and revenue management (yield management) strategies to be better able to respond to changes in demand.
 II.   Research Objective
Describe pricing theories and strategies, and their application to fare policy. This will include a review of innovative fare policy and yield management strategies that have been adopted by transit agencies both in the U.S. and internationally. Special consideration shall be given to examples of pricing strategies from the private sector and their adoption by the public sector. 
In particular, the study will address the following questions:
•     What are examples of innovative pricing strategies that are being used or have the potential to be adopted by transit agencies, and what are the lessons-learned?
•     How can specific fare policy objectives be reflected in different pricing strategies and fare structures? 
•     What are examples for successful pricing strategies in regard to:
    o     Time of day fares
    o     Day of week fares
    o     Service categories and premium service surcharges
    o     Disaggregate fare elasticities and the Willingness to Pay
    o     Limited time and promotional fares
    o     Loyalty programs and incentives
    o     Employer  and university pass programs
•     How can transit agencies balance the need to simplify the fare structure while differentiating fares for different market segments, and what is the customer acceptance?
•     What are ways to balance revenue optimization with equity and social justice requirements?
•     What are relevant metrics to evaluate the effectiveness of pricing strategies (revenue per seat mile, revenue per train mile, revenue per passenger mile, etc.?)
•     What are Best Practices for researching, designing and implementing differentiated pricing structures?</t>
  </si>
  <si>
    <t>ABE10, Revenue and Finance</t>
  </si>
  <si>
    <t>The Value of Life-Cycle Costing and Asset Management in Public Private Partnerships</t>
  </si>
  <si>
    <t>I. RESEARCH PROBLEM STATEMENT
While it is paramount to invest on infrastructure in order to maintain economic competitiveness, traditional funding mechanisms for surface transportation facilities – primarily the gas tax – have not increased in the same rate as the transportation investment needs, and are quickly losing their ability to fund the transportation system. The result is a widening gap between expenditures and revenues. There have been many efforts to bridge this funding gap using direct user charges or increasing taxes, which can be directly leveraged. However, among all different options that can be used to bridge the gap, indirect leveraging through Public Private Partnerships (PPP) has received special attention, particularly because PPPs can leverage public resources and use the efficiency of the private sector to make the delivery of previously infeasible projects more possible. Nevertheless, Public Private Partnership agreements are usually very complex, are associated with huge uncertainties and require a long term analysis of costs and revenues. Asset management requires a strategic approach to consider on-going operation and maintenance needs while involving the economic assessment of trade-offs among alternative options. This approach combines engineering and economic analysis to identify cost-effective investment decisions. While companies bidding on Public-Private Partnerships must consider this long-term approach to optimize a bid that includes annual resources for operation, maintenance and replacement costs as well as repayment of lenders and a return on equity investment, public investment decisions are often made with short-term time horizons that may not incorporate life-cycle costing and long-term asset management perspectives. This approach may result in fewer uses of preventive maintenance techniques which may significantly increase the total cost of the project over its life-cycle. This research topic focuses on how life-cycle costing and asset management techniques can be incorporated into public decision making in order to better evaluate PPP proposals and bids to increase the long term value of PPP projects for societies, as well as to better incorporate life-cycle costing and asset management perspectives in public decision-making relating to non-PPP projects.
II. OBJECTIVE
The objective of this research is to identify how life-cycle costing and asset management techniques can be incorporated into the public decision making process. This should include how future revenues and costs for a PPP project can be estimated, how the risks associated with the revenues and costs can be identified and quantified, and how a Decision Support System (DSS) can be developed in order to incorporate the mentioned elements into public decisions. This Decision Support System will provide decision makers much needed information on the impacts of different life-cycle cost items and risks associated with them on evaluation and comparison of PPP proposals and bids.</t>
  </si>
  <si>
    <t>Structural Design Methods for Alternate Pipe Materials Based on Equivalent Risk Factors</t>
  </si>
  <si>
    <t>Design and Load Rating of Culverts</t>
  </si>
  <si>
    <t xml:space="preserve">http://rns.trb.org/dproject.asp?n=29852 </t>
  </si>
  <si>
    <t xml:space="preserve">http://rns.trb.org/dproject.asp?n=29859 </t>
  </si>
  <si>
    <t xml:space="preserve">http://rns.trb.org/dproject.asp?n=29855 </t>
  </si>
  <si>
    <t xml:space="preserve">III.RESEARCH PROBLEM STATEMENT
Much effort has been focused on load rating of bridges for vehicular loads. However, most bridge design is focused on the gross truck weight, while the response of typical culverts is driven by the response to a single axle and often a single wheel. Research is needed to evaluate the impact of truck loads on the culvert population and to evaluate the loand and resistance factor design (LRFR) procedures for rating culverts addressing the loading conditions specific to culverts.
The structural response of a culvert is controlled by the interaction of the culvert with the surrounding soil. Some load is carried by the culvert and some by the soil. As shown by NCHRP Report 647 Recommended Design Specifications for Live Load Distribution to Buried Structures, the mechanics of this interaction are different among concrete, metal and thermoplastic culverts. Also not captured by simplified design methods common in use today is the fact that as the load increases the relative distribution of load to the culvert relative to the soil can change. These subjects need to be investigated for heavy truck loads to assure that culvert capacities are properly evaluated for rating. Overly conservative rating procedures result in expensive replacements or upgrades, while unconservative rating procedures could result in premature deterioration and even failures.
As an example of how important this work is to the national transportation infrastructure, the Virginia Department of Transportation (VDOT) is responsible for maintaining an inventory of 18,985 bridges, of which 7,205 or 38% are in fact large culverts that are inspected as part of the bridge inspection program. (JLARC, 2000, Adequacy and Management of VDOTs Highway Maintenance Program.) Furthermore, it is estimated that VDOTs maintenance requirements on an inventory of 335,000 smaller culverts amount to $23M annually. (VDOT, 9/2007, Biennial Report on the Condition and Performance of Surface Infrastructure in the Commonwealth of Virginia.)
Using one project constructed in 2011 as an example, VDOT estimated $615,000 for replacing two sets of twin 72 diameter culverts under State Route 201 (VDOTs integrated Project Manager). Although it is a rural road carrying less than 5,000 ADT (VDOTs GIS Integrator, 2008 traffic data), the road is used by heavy logging trucks, an industry which accounts for $350M in raw sales annually in Virginia (Rephann, 9/1/2008). Although the cover over the culverts is approximately 6 feet thick, the original culverts had undergone severe vertical deflection and were supported internally by heavy timbers to avoid complete collapse. This proposal will have the following research objectives:
     Research wheel loadings on culverts that reflect the latest truck and special farm loads and produce a summary of design vehicle loads as well as special agricultural loads and permit vehicles in common and extraordinary use today. This will include 60-kip and 66-kip triple axle trucks that are used in some states.
     Summarize existing culvert response modes in design use for vehicle and axle loadings, including culverts under minimum covers, and culverts of a variety of spans, from smaller culverts to bridge-size culverts (20-ft span).
     Evaluate culvert response to the large loads via 3-D finite element analyses and experiment. In particular these analyses will investigate redistribution mechanisms for live load as load increases from current design levels to the heaviest vehicle and axle loads allowed on roads and highways.
     These evaluations will result in design procedures, design aids, and guidelines for agencies to evaluate culverts for large live loads, and especially to load rate culverts accordingly. These results will form new and revised sections to the LRFD Bridge Specifications and the LRFR Manual.
     The project report will offer an assessment of the response of the national culvert population to increased axle loads and suggestions of how, when necessary, culverts might be strengthened in place without replacement.
 </t>
  </si>
  <si>
    <t>Modulus-based Quality Control in Culvert Backfill Installation</t>
  </si>
  <si>
    <t>III. RESEARCH PROBLEM STATEMENT
Historically, there has been a disconnect between soil properties used in culvert design and compaction control methods used in the field. Culvert design is typically based on implicit or explicit assumptions about the deformational properties of the soil under and around the culvert. The Young’s moduli are the principal soil parameters. However, during construction, there have not been available practical methods for measuring soil modulus and confirming the design assumptions. Commonly, soil density is measured as a surrogate for measurement of soil modulus.  Historically, density is measured rather than modulus because it is easier to do so.  The adequacy of density as a surrogate measurement for modulus depends on empirical relationships between density and modulus that have been previously established for different soil types by laboratory or field testing.  Since there are relatively large changes in modulus with relatively small changes in density, density must be measured with considerable accuracy.
Recent technology innovations have led to development of rapid, portable, compact devices for field measurement of soil modulus. Devices include the Humboldt GeoGauge, Briaud Compaction Device, Prima Light-Weight Deflectometer, small-scale plate load tests, and the Dynamic Cone Penetrometer (using correlations).
Significant research concerning the soil-structure interaction phenomenon has been performed in recent years.  Because of this, the user community has a better understanding of the performance of the complex buried soil-pipe system.  A large portion of the analytical work completed to date considers the soil stiffness of the embedment and backfill material as a primary design and analysis parameter. However, construction installation specifications still verify the structural suitability of embedment and backfill material using the tandem criteria of soil type coupled with Proctor Density.
There are several shortcomings to this approach:
·         Proctor density is in its design a test for cohesive soils.  Suitability of the test for noncohesive soils, such as the well graded granular materials used for pipe backfill, or coarse crushed-rock products, is questionable,
·         Field measurements of soil density are time consuming, cumbersome and unsafe.  The standard use of nuclear density equipment is becoming increasingly problematic.  The equipment requires specialized training, is subject to strict environmental regulations, and is considered a safety issue.
·         Current analytic models for prediction of the performance of the soil-pipe system consider laboratory determined soil modulus as a principal design parameter.
o   Finite element analysis using FHWA’s Culvert Analysis and Design (CANDE) program uses soil modulus in the representative soil models.
o   The Burns &amp; Richard Elastic Solution uses soil modulus as a direct input parameter.
o   The Modified Iowa Formula uses E’ which is a measurement of soil stiffness.
o   The Standard Installation Design Design (SIDD) method for reinforced concrete pipe uses soil modulus in determining the Heger Soil Pressure Distribution.   
The proposed project has five significant objectives:
·         Conduct a comprehensive survey of recent, ongoing and planned modulus-based construction research.
·         Correlate field gage soil modulus measurements to tabulated modulus values based on soil type coupled with Proctor Density.
·         Investigate usefulness of soil modulus gages in the marketplace, for assessing culvert backfill properties.
·         Collect soil modulus data for a range of soil, culvert and construction methods, to assess modulus values and variability.
·         Develop recommendations for establishing compaction target values.
·         Develop a standard test method for incorporation into AASHTO specifications.</t>
  </si>
  <si>
    <t>Bedding Design for Culverts and Underground Structures to Improve Performance and Reduce Cost</t>
  </si>
  <si>
    <t xml:space="preserve">http://rns.trb.org/dproject.asp?n=29388 </t>
  </si>
  <si>
    <t xml:space="preserve">http://rns.trb.org/dproject.asp?n=29389 </t>
  </si>
  <si>
    <t>RESEARCH PROBLEM STATEMENT
The thickness of bedding under buried pipes is often set at "standard" values, without regard to cost or engineering requirements.  Most concerns, with regards to bedding, relate to the minimum thickness, firmness, and the aggregate size.  In current specifications, the specified bedding thickness is often the same, regardless of the fill height.  Designs are most often based on minimum bedding thickness, which usually relate to a worst-case scenario with regards to bedding effects.  Some concerns have arisen regarding structures and the appropriate bedding thickness when deep fills are encountered.  These concerns are magnified in the case of a hard foundation.         
This research will especially address six (6) issues on Congestion, Energy and Environment, Infrastructure, Emergency Preparedness, and Safety.
Determine the effect of variable bedding thicknesses on the design and performance of pipe, box sections, and structures under deep fills.  This would include answering the following questions:
·         What effects does an increased bedding thickness have on the design and how do these effects relate monetarily to the product cost – initially and in the long term?
·         Is the design benefit derived from an increase in bedding thickness proportional to the depth of fill? This means development of a bedding factor as a function of bedding height.
·         What thickness of bedding is required to mitigate the effect of a rough and/or hard trench bottom (e.g. blasted bedrock).
·         What is the relative performance of the different specified bedding materials?</t>
  </si>
  <si>
    <t>Inspection Around Existing Deep Sewers and Tunnels for Restoration and Rehabilitation</t>
  </si>
  <si>
    <t>III.RESEARCH PROBLEM STATEMENT
With the age of highway structures under freeway and trunk highways approaching 50 years, there is a need to inspect and repair these systems.
These structures, located beneath the roadbeds, sometimes at great depths, will require that they and surrounding materials be inspected from within the structure itself.  Through the  years, as groundwater has infiltrated the joints, it has carried with it some of the surrounding soil which has caused voids to form around the structure.
In addition, piping of water flows has potentially removed soil support from beneath the structure.  To the extent that voids and soil support problems exist around these structures, research is needed to determine cost effective means of detecting and locating these voids from within the structures.
The objective of this research is to assist state, federal and local government agencies to inspect and remediate their sewer, culvert, and storm tunnel structures using technology and equipment that is cost effective and dependable.  The ability to determine the size and location of the voids and then prepare contracts for their repair is the desired outcome for the government agencies.
In some cases, where critical soil support is missing, immediate repairs may be made to avert structure collape, and related problems.  The safety of workers making the inspections and repairs will also be improved where significant void problems exist.</t>
  </si>
  <si>
    <t>Trenchless Utility Pipe Installation and Replacement Under Highways to Minimize Traffic Disruption and Other Direct and Indirect Costs</t>
  </si>
  <si>
    <t>III.  RESEARCH PROBLEM STATEMENT
Trenchless construction is the process of installing and replacing underground infrastructure without open-cut excavation. The use of technology like pipe jacking, micro-tunneling, horizontal directional drilling, guided boring, pipe bursting, and pipe splitting has significantly increased in recent years, driven by the need to install new pipe systems and rehabilitate aging sewers, culverts and distribution pipelines. Critical applications include conduit crossings under highways, streets, railroads and other transportation lines, where use of trenchless technology can reduce disruption to transportation and problems associated with backfilled trenches.
While use of this technology is increasing, it is largely a contractor driven industry and engineers representing infrastructure owners, geotechnical consultants, and others still have questions regarding disturbance to overlying infrastructure like pavements, and buildings, and other buried infrastructure that occurs in the vicinity. The expansion of soil around pipes being replaced or the excavation of ground for installation of new pipes can result in ground heave or settlement. The soil loads, pulling forces, and possible damage to the new pipes being installed are also influenced by the trenchless construction processes. Use of pressurized drilling mud, particularly during directional drilling, can lead to blowout or hydrofracture of the soil surrounding the boring, and significant environmental consequences. In addition to studies of the physical phenomena associated with trenchless replacement or installation, there is a need for comparative data relative to more traditional techniques, so they can be judged on the same basis. Field monitoring on typical projects is need to examine the performance of existing and proposed design procedures.
This proposal will have the following research objectives:
·         To quantify the relationship between the in-situ soil, cutting or expansion mechanisms, soil loads and pipe structure.
·         To examine the effect of vehicle loads on pipelines installed or replaced by trenchless methods beneath existing roadways, and to examine the impact on the road pavement and adjacent buried services.
·         To evaluate new design tools for estimating ground deformations and for preventing mud loss during construction.
·         To review in detail case studies involving successful and unsuccessful use of this technology.
·         To synthesize existing research on both the effects of open-cut technologies on the surrounding environment, and on the relative total costs of trenchless and open-cut technologies.
·         To develop or update design guidelines for pipe jacking, micro-tunneling, horizontal directional drilling, guided boring, pipe bursting, pipe splitting and equivalent technologies.</t>
  </si>
  <si>
    <t>RESEARCH PROBLEM STATEMENT
A great deal of guidance has been developed on culvert durability, inspection procedures, and rating systems.  This information has been used by departments of transportation as well as local agencies to estimate service life and level of deterioration of their culvert infrastructure.  In addition, a number of highway agencies have implemented, to various degrees, culvert inspection programs, which incorporate formalized inspection scheduling and documentation.  Most of these programs, however, are not tailored to a national audience, are not comprehensive in addressing all structural, hydraulic, geotechnical, and environmental issues, and do not produce condition and performance data compatible with culvert management strategies and systems.
The Federal Highway Administration (FHWA) developed a comprehensive program in 1986 to address the global need to identify, quantify and rate culverts.  The end product was the publication titled “Culvert Inspection Manual,” FHWA-IP-86-2.  There is a critical need to update this publication to incorporate new pipe technology products including materials (plastic pipe), coatings, and rehabilitative linings.  These new technologies require the inclusion of new inspection guidelines and procedures for both culverts and storm drain systems.  Facilities designed to accommodate aquatic organism passage (AOP), specifically open-bottom shapes and embedded closed-bottom culverts, are becoming a national focus and need more detailed assessment guidance than that found in the FHWA “Culvert Inspection Manual”.  Advances in the methodologies used to determine durability, performance, and service life estimation are of critical importance and should be revisited to ensure conformity with current best practices.  In addition, significant advancements have taken place on remote access inspection techniques and digital camera technologies for assessing restricted-access pipes and culverts since the development of the FHWA manual, which are typically used on the inspection of many storm drainage projects.
In conjunction with this effort, there is a critical need for a comprehensive, state-of-the-art computerized tool for documenting and managing culvert and storm drain facilities once they are identified, evaluated, and rated. A culvert management system would serve as a database for culverts and storm drain pipe inventories and assist with recording locations, tracking evaluations of condition and performance, scheduling inspection and maintenance activities, and selecting and budgeting rehabilitation and replacement activities.
This research project consists of integrating the data obtained from inspections into a comprehensive management system for electronically documenting, tracking, and managing these facilities.  Background information on culvert management systems (CMS) can be found in FHWA IF-07-032, “Culvert Management Systems.”</t>
  </si>
  <si>
    <t>Culvert and Storm Drain Management System</t>
  </si>
  <si>
    <t>http://rns.trb.org/dproject.asp?n=29384</t>
  </si>
  <si>
    <t>Electrochemical Corrosion Repair of Concrete Culverts</t>
  </si>
  <si>
    <t xml:space="preserve">http://rns.trb.org/dproject.asp?n=29383 </t>
  </si>
  <si>
    <t xml:space="preserve">http://rns.trb.org/dproject.asp?n=29386 </t>
  </si>
  <si>
    <t xml:space="preserve">http://rns.trb.org/dproject.asp?n=29853 </t>
  </si>
  <si>
    <t xml:space="preserve">http://rns.trb.org/dproject.asp?n=29385 </t>
  </si>
  <si>
    <t xml:space="preserve">http://rns.trb.org/dproject.asp?n=27383 </t>
  </si>
  <si>
    <t xml:space="preserve">http://rns.trb.org/dproject.asp?n=27249 </t>
  </si>
  <si>
    <t>RESEARCH PROBLEM STATEMENT
Recent work with Kennedy Space Center, FL, has demonstrated that reinforced concrete can be strengthened while corrosive chlorides are removed by using electrochemical repair treatments.  Such a treatment uses low voltages (&lt;40 V) to extract chlorides from the concrete while simultaneously inserting positively charged pozzolanic nanoparticles.  The hardened cement paste phase in concrete can contain as much as 50% calcium hydroxide.  Thd  nanoparticles can rapidly convert this paste to more of the C-S-H binder material that is already found in concrete.  Lab results have demonstrated that 3-5 day treatments have increased concrete tensile and compressive strengths by over 100% and have reduced the migration rate of chlorides by a factor of seven.  Conventional chloride extraction alone does not increase strength and can actually cause damage.  The assembly of a treatment setup involves standard trenchless technology bladders that hold treatment liquids within a given section of pipe.  Prior to treatment, gross cracks are patched with non-shrinking grout. 
Evaluate the effectiveness of this treatment method in the laboratory and field with the goal of making it commercially viable.  The proposed work would include treatment of lab and field core samples followed by treatment of full scale culverts.</t>
  </si>
  <si>
    <t>ABE20, Transportation Economics</t>
  </si>
  <si>
    <t>Values and Methods for Incorporating Travel Time Reliability in Highway Benefit-Cost Analysis</t>
  </si>
  <si>
    <t>http://rns.trb.org/dproject.asp?n=28967</t>
  </si>
  <si>
    <t>Over the last several years, there has been a growing recognition in the transportation community that consistent or reliable travel times are important to travelers and the movement of goods. This may reflect a resignation by the public that some congestion is inevitable, so merely achieving consistency in travel times rather than eliminating congestion has become the objective. The greater emphasis on travel time reliability may also reflect more complicated and scheduled personal lifestyles (e.g., due to dual income families and changing responsibilities) that depend on reliable arrivals through the day. At the same time, goods movement has become more dependent on reliable travel nationally and globally as a result of just-in-time delivery and increased industrial specialization. If travel time reliability is important to the traveler, then it should be reflected in the user benefits included in benefit-cost analyses. Historically, practitioners have used proxies to incorporate travel time reliability into benefit-cost analyses (e.g., different values of time for certain and uncertain travel, different values of time for congested and uncongested travel, or a travel time premium for travel during incident conditions). However, for each of these proxies, the valuation of travel time reliability has not been rigorous. Variations in trip times are due to a number of factors, notable among them: recurring and non-recurring incidents, work zones and demand spikes. Demand spikes may be due to stadium events, holidays, first day back to school, and, as well, seasonal variations. Deviations from mean trip time are often knowable well in advance and thanks to increased availability and improved quality of traveler information systems, many unusually long trips are often avoidable. Research indicates that trip time predictability is of greater importance than reliability, per SE. Thus the measure of reliability in benefit-cost analysis should not only consider trip time variance, rather, the extent to which prior information can help mitigate the effects of longer-than-usual trips. A practical method is needed for explicitly incorporating travel time reliability (as a separate category from travel time) into benefit-cost analysis. Recent research suggests that travel time reliability benefits could be large, particularly in congested urban areas. Inadequately measuring these benefits could cause a bias in project and policy analysis. A few countries (e.g., Denmark, the Netherlands, New Zealand, Norway, Sweden, and the United Kingdom) have begun to include travel time reliability in benefit-cost analysis. Practical methods may be drawn from these practices. Literature Summary Recently, the Strategic Highway Research Program (SHRP) 2 sponsored accelerated research into reliability. The Joint Transport Research Center (JTRC) of the Organization for Economic Co-Operation and Development (OECD) and the International Transport Forum (ITF) has also contributed to research by preparing a comprehensive report on travel time reliability and hosting international conferences on the subject. In addition, several countries (e.g., the Netherlands, Norway, Japan, and the United Kingdom) are currently exploring the inclusion of travel time reliability in benefit-cost analysis or conducting related valuation studies. Incorporating reliability requires a standard measurement for travel time reliability, a value for travel time reliability, and the ability to predict future reliability and the impact of transportation projects on reliability. There are several potential measures of travel time reliability (including the standard deviation) for benefit-cost analysis. The value of travel time reliability is often expressed at a multiple of the value of time (known as the “reliability ratio”) with values typically ranging from 0.7 to 1.3. Researchers have developed two approaches (scheduling and mean-variance) for valuing reliability.  These approaches have been shown to be equivalent under certain circumstances. They may measure the same disutilities, because increases in travel time variation may be equivalent to scheduling delays, especially for travelers whose expected travel time matches the preferred arrival time. The mean-variance approach could be more flexible for benefit-cost analysis, because the preferred arrival time does not need to be known (as it does under the scheduling approach). Less research has focused on predicting travel time reliability and there is a need for a simple method to predict future reliability and the impacts of policies and projects on reliability. SHRP 2 and European research have developed some methods for forecasting reliability using volume-delay-reliability functions. Another approach is to mimic the methods that state Departments of Transportation (DOTs) use to predict crash rates associated with safety projects using traffic, geometrics, location, and road conditions. The Florida Department of Transportation (FDOT) recently sponsored research to develop a similar, rudimentary system for predicting travel time distributions. Research into the relative impact of factors affecting travel time reliability could help to expand this approach.  Other relevant research includes National Cooperative Highway Research Project (NCHRP) Report 431:Valuation of Travel-Time Savings and Predictability in Congested Conditions for Highway User-Cost Estimation and NCHRP Report 8-36, Task 62: Best Practice Methodology for Calculating Return on Investment for Transportation Programs and Projects Research Objective and Research Required This research is intended to develop a practical method for including travel time reliability that can be incorporated into existing benefit-cost procedures and models. The research will build on recent research efforts to develop a procedure that can be implemented in the near term. It will also identify holes in current knowledge and areas for future research to develop a more robust method.The research is anticipated to include the following steps: Reviewing and synthesizing efforts undertaken in SHRP 2 and international initiatives as well as recent NCHRP projects to determine how they may inform a reliability assessment process within benefit-cost analysis. Identifying transportation projects and policy issues (e.g., tolling strategies) that might benefit from a better assessment of reliability. Reviewing existing methods or models that specifically incorporate travel time reliability for highway passengers or freight into benefit-cost analysis. Reviewing empirical studies to establish a preliminary, recommended value of reliability. Issues that might be considered in establishing a value include:
o   The shape of travel time distributions
o   Areas of the distributions that are more valuable for travelers (e.g., late arrivals compared to early arrivals)
o   The value of small delays compared to large ones
o   How the value of travel time reliability varies by income, gender, and trip purpose on highways to allow a more accurate assessment of equity related consumer surplus
¨      Reviewing the literature available on travel time reliability for freight by transport mode and carried goods to allow a more explicit representation of just-in-time processes.
¨      Identifying recommended procedures that can be implemented in the near term for forecasting travel time reliability using sketch planning tools, travel demand models, or micro-simulation models
¨      Preparing a database of before and after case studies highlighting travel time reliability and establishing rules of thumb for various project types
¨      Developing guidelines that incorporate the above research
¨      Identifying areas that merit additional research for developing more robust approaches and specific guidance to include travel time reliability into benefit-cost analysis. Areas may include:
o   Developing values from revealed preference surveys (currently few examples available) to compare with existing values from stated preference surveys
o   Establishing the statistical design of surveys for inferring the value of reliability
o   Explicitly differentiating between the value of average time savings and the value of travel time reliability in time valuation studies (and potentially reexamining the results of prior travel time studies to control for reliability)
o   Identifying values of travel time reliability for scheduled services (e.g., public transit, rail, and aviation) and establishing a preliminary, recommended value if sufficient data exists
o   Determining the impact of traveler information (such as message signs, global positioning systems, and use of cell phones for accident reporting) and other transportation management strategies on travel time reliability.
¨      Preparing a final report that describes all activities and findings.</t>
  </si>
  <si>
    <t>Analysis of Social Costs and Benefits of Advanced Biofuels and Other Low Carbon Fuels</t>
  </si>
  <si>
    <t>Problem Statement
Policy interest in low carbon fuel standards (LCFS) as a means of reducing GHG emissions is growing rapidly. California Governor Arnold Schwarzenegger signed an executive order on January 18, 2007 that initiated a low carbon fuel standard to reduce the carbon intensity of fuels for light-duty vehicles. The standard limits the life cycle weighted average carbon intensity of transportation fuel. Several bills that would establish a similar national LCFS were introduced in the 110th Congress. None were adopted, and one was discussed on the Senate floor. In the 111th Congress, an LCFS was in the original draft of the Waxman-Markey bill, but removed from the version that passed the House. The American Clean Energy and Security Act may include a national LCFS.
There is an urgent need for an objective, scientific analysis of the social costs and benefits of the advanced biofuels and other low carbon fuels that would be required under a national LCFS.
Objective
This project will conduct a comprehensive social benefit and cost analysis of a national low carbon fuel standard (LCFS) by:
·      Reviewing previous related efforts from the University of California, the University of Minnesota, and others
·      Consulting several proposed guidelines for benefit and cost analysis, including the OMB’s guidelines
·      Developing an economic model that permits the prediction of private and social costs and benefits of LCFS. The model should distinguish between tangible and intangible elements. An example of a tangible component of private cost would be the incremental increase in the cost of producing fuel. An example of an intangible component of private cost to the consumer would be any loss of vehicle performance associated with the LCFS. The social costs and benefits should include quantifiable market and non-market impacts.
·      Developing an accounting framework that delineates the appropriate dimensions and boundaries of the social costs to be considered. Such a framework should capture impact disparities and equity concerns among affected stakeholders.
·      Measuring and normalizing incremental costs in terms of appropriate functional units (e.g. $/tonne GHG avoided, $/Btu, etc.) to facilitate comparison of fuel alternatives. Additionally, total (non-normalized) costs should be estimated to assess overall impacts to affected stakeholders.
·      Identifying several scenarios for a national LCFS along a number of dimensions;
·      Establishing the baseline for the analysis, including, if appropriate, GHG and CAFE standards under the EPA and NHTSA joint rulemaking and the Renewable Fuels Standards 2.
·      Conducting a comprehensive sensitivity analysis for the parameters in the model, consulting experts and establishing 90 or 95 percent ranges of plausibility.
·      Establish GHG benefits of LCFS implementation by 2050 and beyond.</t>
  </si>
  <si>
    <t>Determinants of Success: Best Practices for Evaluating Safe Routes to School Programs</t>
  </si>
  <si>
    <t xml:space="preserve">http://rns.trb.org/dproject.asp?n=24816 </t>
  </si>
  <si>
    <t xml:space="preserve">http://rns.trb.org/dproject.asp?n=24821  </t>
  </si>
  <si>
    <t xml:space="preserve">http://rns.trb.org/dproject.asp?n=24727 </t>
  </si>
  <si>
    <t>PROBLEM STATEMENT
Programs to promote active transportation to school have been gaining popularity as a way to incorporate physical activity into children’s lives, reduce traffic congestion in school zones and improve air quality in communities by eliminating auto trips. While these programs are increasing in numbers and funding, little is known about the outcomes, specifically in terms of travel behavior changes and safety improvements.
The current tools to evaluate these programs provide some information on student travel behavior patterns and mode choice. However, they are often too limited in scope to provide useful information about the effectiveness of individual program elements. Since funding is limited for Safe Routes to School programs and evaluation, most programs have not done thorough evaluations of program components. It is critical that programs document behavior changes and safety improvements to help them focus their resources on the elements that are most likely to improve walking and bicycling to school. Therefore, there is an opportunity for Safe Routes to School program managers to learn from leading communities that are conducting meaningful and efficient program evaluations. Lessons learned from these leading communities should be summarized in a best practice synthesis document. 
RESEARCH OBJECTIVES
The objective of this research is to describe best practices for evaluating SRTS programs and develop a set of recommended best practices for local SRTS programs. A case study approach should be used to provide examples of meaningful and efficient evaluation methods.</t>
  </si>
  <si>
    <t xml:space="preserve">http://rns.trb.org/dproject.asp?n=22203 </t>
  </si>
  <si>
    <t>III.  RESEARCH PROBLEM STATEMENT 
The AASHTO LRFD Bridge Design Specification use different load and resistance factors for the design of pipes made from different materials.  Seemingly, this practice results in different factors of safety between designs of the concrete, metal and plastic pipes involved.  In some instances, the apparent safety factors appear to range from roughly 1.2 to 5.0.  This is a historic practice that may or may not be justified by the loads, known strength of the pipe materials and installed backfill soils involved.
Load factor evaluations need to account for current day inspection controls, deflection testing, etc.  Effective means of offsetting likely variations in design assumptions need to be identified, evaluated and, where appropriate, included in future specifications.  Resistance factors are to be developed on the basis of inconsistencies that may actually occur within the pipe and backfill materials as specified as well as the accountability of the materials involved.
V.                RESEARCH OBJECTIVE
This research will significantly aid in achieving the goals of the June 2005 Grand Challenges posted by the AASHTO Highway Subcommittee on Bridges and Structures.  The 7 Grand Challenges are:
1 - Extending Service Life
2 - Optimizing Structural Systems
3 - Accelerating Bridge Construction
4 - Advancing the AASHTO Specifications
5 - Monitoring Bridge Condition
6 – Contributing to National Policy
7 – Managing Knowledge
Especially relevant to this research, as shown in the research description below, is the attempt to answer Grand Challenges 1, 2, 4, 5, 6, and 7
This research also addresses the Transportation Research Board’s “Critical Issues in Transportation”, 2009 Update, which lists the following nine (9) Critical and Cross-Cutting Issues:
        Congestion - increasingly congested facilities across all modes
        Energy, Environment, and Climate Change - extraordinary challenges
        Infrastructure - enormous, aging capital stock to maintain
        Finance - inadequate revenues
        Equity - burdens on the disadvantaged
        Emergency Preparedness, Response, and Mitigation - vulnerability to natural disasters and terrorist strikes
        Safety - insufficient improvement
        Institutions - 20th century institutions mismatched to 21st century missions
        Human and Intellectual Capital - inadequate investment in innovation
This research will especially address six (6) issues on Congestion, Energy and Environment, Infrastructure, Emergency Preparedness, and Safety.
Evaluate the basis of the various AASHTO pipe design specifications (methods), their degree of technical substantiation as well as their dependency on (any) differing loading assumptions, the effect of variations in specified backfill materials and the dependency of the pipe’s performance on contractor workmanship.   
Develop design methods with equivalent risk factors for pipes of alternate materials.  Appropriate soil and live load design assumptions as well as soil support, shape control and pipe material strength variations are significant factors.</t>
  </si>
  <si>
    <t>ABE25, Congestion Pricing</t>
  </si>
  <si>
    <t>The Effects of Congestion Pricing on Trip Reliability</t>
  </si>
  <si>
    <t xml:space="preserve">http://rns.trb.org/dproject.asp?n=24741 </t>
  </si>
  <si>
    <t>I. RESEARCH PROBLEM STATEMENT
Pricing proposals are being carefully considered as a remedy for both congestion and revenue issues that have long plagued metropolitan areas.  Although both congestion management and revenue generation have been characterized as the motivations for proposed pricing schemes, the actual mechanism by which congestion is reduced needs to be clarified so that appropriate pricing strategies can be developed. 
In spite of the emphasis on congestion management and reduction, many pricing proposals meet stiff opposition for a variety of reasons.  Among those most often confronted by planners and policy-makers is the resistance to pricing as a congestion management tool due to the belief that congestion is either an irreducible part of the fabric of urban economics or that pricing options fail to adequately address equity, efficiency and productivity issues most affected by highway congestion.
Substantial progress has been made in evaluating the effects of reliability on the performance of the highway system.  Reliability is also becoming more widely recognized as a key factor in both delay and congestion reduction – especially for recurring congestion associated with capacity limitations.  However, the research that has been conducted to-date, in an attempt to establish a value for travel time reliability, has primarily focused on the relative value of reliability, but has not been linked directly to pricing strategies.  Moreover, with the dominant emphasis on passenger travel and the equity and efficiency issues central to the discussion of pricing on passenger travel, little attention has been paid to the productivity and efficiency effects of pricing on commercial travel.  Both perspectives are required to provide the essential balance needed in a truly comprehensive assessment of the effects of congestion pricing.
II.   OBJECTIVE
The objective of this research will be to demonstrate that many of the economic benefits of congestion pricing strategies depend on reducing trip time variability rather than merely reducing delay or overall travel time. This analysis will provide an economically sound review and assessment of this aspect of pricing, and will contribute to the research needed to support more focused and direct public outreach on the important ways that pricing strategies can improve reliability and, through this mechanism, reduce congestion.  The research will provide the economic rationale needed to establish that there are important, but as yet unrecognized benefits to commercial highway users that extend beyond the value of time for drivers and inventory.</t>
  </si>
  <si>
    <t>The Effects of Vehicle Miles of Travel Pricing on Travelers in Different Income Groups</t>
  </si>
  <si>
    <t>http://rns.trb.org/dproject.asp?n=24738</t>
  </si>
  <si>
    <t>I.RESEARCH PROBLEM STATEMENT
Transportation’s impact on the economy is well documented. The Bureau of Transportation Statistics estimates that in 2007 transportation-related goods and services contributed $1.45 trillion to the $13.8 trillion U.S. Gross Domestic Product; about 10.5 percent.  However, traditional funding mechanisms – primarily the gas tax – are quickly losing their ability to fund the transportation system and will likely be phased out in the next decade.
A likely successor to the gas tax is a fee based on a drivers’ vehicle miles traveled (VMT).  The concept has been endorsed by The National Surface Transportation Infrastructure Financing Commission, the Nation Surface Transportation Policy and Revenue Commission, and the Transportation Research Board.
Prior to such a monumental change in the pricing structure for transportation services, there needs to be extensive research done on the new pricing system’s impact on all areas of transportation.  Driver behavior will likely change due to the new pricing strategy and, therefore, designing a system that both provides necessary revenues and increases the efficiency of the system would be optimal.  However, those cannot be the only concerns as some travelers, particularly low income travelers, may be negatively impacted by this system to a point where their mobility is severely hampered unless these impacts can be anticipated and mitigated.  This research focuses the impact of a VMT on drivers based on their income group.
II.OBJECTIVE
The objective of this research is to identify how various VMT pricing structures may impact travelers – broken down by the income group of those travelers.  This should include a comparison of how the VMT pricing strategies impact driver behavior as compared to the current system of financing.  This will provide decision makers much needed information on the impacts of VMT pricing options including equity impacts.</t>
  </si>
  <si>
    <t>http://rns.trb.org/dproject.asp?n=24737</t>
  </si>
  <si>
    <t>Diversion to Arterials under Congestion Pricing</t>
  </si>
  <si>
    <t>I.   RESEARCH PROBLEM STATEMENT
One of the primary objections to congestion pricing of all of the lanes of an urban highway (full-facility congestion pricing) is that the presence of the toll will cause drivers to divert to alternative toll-free routes.  However, whether such diversion will occur and to what degree is unknown.  A number of factors that may influence the amount of diversion including:
§ Toll levels
§  Desirability of alternative routes as compared to the tolled route
§ Availability of alternative modes such as transit
§ The flexibility of drivers to divert to off-peak or peak shoulder hours
§ The option of combining or eliminating trips
§ The option of telecommuting
§  The use of increased revenues to fund additional lanes
§ The possibility that the use of dynamic tolling will increase effective highway capacity, increase speeds, lower travel costs and cause reverse diversion to the tolled highway
In the absence of empirical data developed from properly designed research studies, the degree of diversion, and its causes and solutions will remain unknown and potentially hinder public acceptance of congestion tolling and the implementation of projects.
II.   OBJECTIVE
The objective of this research is to identify how arterial travel and diversion changes when parallel freeways become subject to congestion pricing-type tolling.  The research will also identify the factors that determine the level of arterial diversion and strategies that can reduce the level of diversion.
III. RESEARCH PROPOSED
This research would combine information gathered from the literature with before and after case studies of facilities that are converted to full-facility congestion pricing.  The first step will be a thorough review of the literature for existing studies of arterial diversion.  The second step will be to identify one or more projects that will involve the conversion of a specific highway to full-facility congestion pricing in a situation where there is the potential for significant arterial diversion (e.g., I-95 and Florida’s turnpike). The third step will be to estimate diversion of trips to the arterial system both before and after the imposition of congestion pricing on the selected facility. This should include collection of time-series data on traffic counts on both the arterial system and the facility along with the collection of survey or log-based data on the behaviors and motivations of a sample of motorists that utilize the arterial/highway system. The fourth and final step would be the tabulation of the data, analysis of the results, including estimates of the price elasticity of demand for the priced road, cross elasticity of demand for the un-priced transportation alternative(s), and diversion ratio, and the preparation of a report.</t>
  </si>
  <si>
    <t>Differentiating the Benefits of Congestion Pricing on both Commercial and Non-Commercial Users of Priced Facilities</t>
  </si>
  <si>
    <t>http://rns.trb.org/dproject.asp?n=24735</t>
  </si>
  <si>
    <t xml:space="preserve"> I.RESEARCH PROBLEM STATEMENT
The effects of highway congestion on metropolitan passenger travel have been extensively investigated.  A literature and practice that identifies the value of travel time savings (measured in both expected trip duration and variation) has been developed at a sufficient level to be used in investigating pricing strategies.  Commercial and business highway users must also accommodate the effects of reliability on their operations.  However, these operations are much more complex than those traditionally considered for passenger travel, and can involve costs and decisions that ripple throughout logistics operations, supply chain management and inventory control systems of commercial enterprises.  Moreover, commercial enterprises are highly differentiated with respect to how they are organized logistically, and have varying sensitivities to pricing – particularly in their ability to pass along transportation cost increases to their customers, absorb those costs into their internal operations, or capitalize on the changes in improved reliability inherent in congestion pricing proposals. 
In evaluating and establishing any congestion pricing proposal, it is vital that planners and policy makers understand the effects of pricing on equity issues relative to passenger travel.  It is arguably just as important – if not more so – for planners and policy-makers to understand the highly differentiated and segmented commercial and business markets served by the highway system and to be able to provide informed, balanced and equitable consideration to commercial and businesses that are the foundation of the metropolitan economy.
II. OBJECTIVE
The objective of this research will be to determine and describe the different priorities, needs, benefits, costs, and willingness-to-pay of commercial and non-commercial highway users when it comes to evaluating and assessing alternative pricing strategies.  
III.  RESEARCH PROPOSED
From the perspectives gained through the synthesis of current research, the investigators would identify specific highway user “market segments” such as passengers (commuter and non-commuter), commercial (freight and logistics), and businesses (professional services, utilities and government), and identify the reliability-based issues that each confronts in intra-metropolitan travel.
The research would fund a combination of synthesis and direct interviews with representative members of each market segment.  Synthesis would be oriented toward summarizing the extensive direct interview information available for passenger travel.  Interviews would be conducted with the various business and commercial users of the highway system, and would be used to describe both the relative costs and possible arrangement of operational benefits that could accrue if significantly greater highway system reliability could be achieved through pricing strategies.
The objectives of the interviews would be two-fold:  first to describe how current reliability patterns (and adaptation to these patterns over time) affect the costs of doing business; and second to explain how improved highway system reliability may affect logistics, supply chain and inventory management, and overall efficiency of business operations.  Interviews would be designed to supplement the findings of published research, illuminate gaps and issues raised in the research review and provide guidance for future quantitative research and analysis of reliability issues related to congestion pricing.  Research would include 40 to 60 interviews with knowledgeable managers involved in business logistics operations and with planners familiar with passenger and freight travel and decision-making.
The results of the research would provide planners and policy-makers with a careful comparison of the ways that passenger and commercial highway users value reliability, the relative costs that current system reliability imposes on these users, and the ways that improved reliability affects each segment of the highway users “market” – including a relative assessment of the differences that such effects may have on equitable evaluation of pricing strategies on all highway users.</t>
  </si>
  <si>
    <t>Pilot Program for the Implementation of Public Involvement Tools and Techniques</t>
  </si>
  <si>
    <t>http://rns.trb.org/dproject.asp?n=24368</t>
  </si>
  <si>
    <t>Many innovative tools and techniques intended for public outreach efforts have been developed and documented in recent years.  While these tools and techniques are intended to help transportation agencies create a dialogue with stakeholders and interested parties, as well as to comply with the requirement of SAFETEA-LU, many of these agencies have been challenged to allocate scarce funds for public involvement that goes beyond the basics.   A pilot program that grants funds to states and MPOs to implement, assess, and document innovative public outreach would expose these agencies to new approaches, and would contribute to the state of the practice through real-world tests of the the applicability of these approaches in various situations.</t>
  </si>
  <si>
    <t>ADA60, Public Involvement in Transportation</t>
  </si>
  <si>
    <t>Consolidating Freight Movement Origins and Destinations at Inland Distribution Centers</t>
  </si>
  <si>
    <t>http://rns.trb.org/dproject.asp?n=15886</t>
  </si>
  <si>
    <t>I. Research Problem Statement
The Federal Highway Administration’s (FHWA) Freight Analysis Framework forecasts that U.S. domestic freight volumes and international freight volumes will increase by 67 percent and 85 percent, respectively, between 1998 and 2020. The FHWA suggests that this growth, especially in international trade, is likely to present challenges to U.S. ports and border gateways. These challenges could be substantial for intermodal facilities where freight is exchanged between modes, for example, at marine facilities in the nation’s leading ports.
The increasing importance of intermodalism was recognized in the federal Intermodal Surface Transportation Efficiency Act (ISTEA) of 1991, the Transportation Equity Act for the 21st Century (TEA 21), passed in 1998, and the Safe, Accountable, Flexible, Efficient Transportation Equity Act: A Legacy for Users (SAFETEA LU) of 2005. All three bills included provisions addressing the need for states and metropolitan areas to develop transportation plans and programs that incorporate the importance of intermodal facilities.
SAFETEA LU provided additional encouragement for intermodal freight transport, including the establishment and funding of a Freight Intermodal Distribution Pilot Grant Program. This program provides grants to 1) facilitate and support intermodal freight transport initiatives at the state and local levels to relieve congestion and improve safety, and 2) provide capital funding to address infrastructure and freight distribution needs at inland ports and intermodal freight facilities.
Research is needed to characterize the contribution of inland intermodal freight transport facilities to the nation’s goods movement challenges. Findings from this research will support and complement various intermodal freight provisions and initiatives in ISTEA, TEA 21, and SAFETEA LU, and will inform policy makers developing transportation funding legislation. 
II. Research Objectives
The goal of this research is to characterize the feasibility and benefits of consolidating intermodal freight movement origins and destinations at inland distribution centers. More specifically, this research will:
§         Develop a commonly accepted definition of inland distribution centers and their role in consolidating intermodal freight movement origins and destinations,
§         Review research on inland distribution centers since passage of the Intermodal Surface Transportation Efficiency Act of 1991,
§         Prepare an inventory of inland distribution centers established during the last 15-20 years,
§         Summarize the advantages and disadvantages of inland distribution centers,
§         Identify successful inland distribution centers and factors contributing to success,
§         Identify failed inland distribution centers and factors contributing to failure, and
§         Prepare a guidebook of best practices to successfully consolidate intermodal freight movement origins and destinations at inland distribution centers.</t>
  </si>
  <si>
    <t>AT045, Intermodal Freight Transport</t>
  </si>
  <si>
    <t>The Other Side of Coordination What Are the Barriers and Why Are They There?</t>
  </si>
  <si>
    <t>http://rns.trb.org/dproject.asp?n=15379</t>
  </si>
  <si>
    <t>A recent Government Accountability Office (GAO) report identified more than 60 federal programs that provide funding for human service transportation.  It seems that every study done over the past 30 years has indicated that there are few, if any, substantive barriers to coordination, and that “problems” are allegedly due to “attitudes” of state or local staff personnel and/or to real or perceived barriers attributable to statutes, regulations, and policy interpretations.  In spite of this, transportation and even human service professionals continue to insist and give examples of the existence of many such “barriers” at the state and local level.  Somewhere, there is a tragic disconnect between how the regulations are being written at the Federal level and how they are being executed at the local level.  This research project would, to the extent possible, compile a listing of known and documented state and local laws, regulations, and policies, and their interpretations regarding coordination.  Such a substantive, specific and comprehensive catalogue of actual regulatory barriers, compiled from sources directly involved with these experiences, will inform the national community and would give upper level state and federal authorities examples around which to issue further guidance and regulatory clarifications.  Congress recently added new mandates for transportation coordination in SAFETEA-LU, and local systems and planners need more comprehensive tools to overcome the barriers that actually exist.The impetus behind this project comes from the recent discovery (through the SAFETEA-LU coordinated planning process) that the statutory basis for California regulations that, for all practical purposes, prohibit public transit operators from being providers of Medicaid transportation throughout the state, is in fact a  “typo” in a law that was passed in 1982.  Although this is hopefully an extreme example, it points to the likelihood that similar situations of both intended and unintended consequences exist all around the United States.  If coordination between human service and public transit is ever going to take hold on a wide-spread basis, problems at the regulatory level must be identified and solved.
III.       OBJECTIVE
Each state has its own “foibles” in encouraging or discouraging coordination of human service transportation and public transit.  To date, no comprehensive compilation of these barriers – real and perceived – has been undertaken.  Practitioners have been clear that they believe that they can learn from other states’ examples and successes in identifying way to deal with local issues.
 The proposed project may also be a “crossover” with the J-5 Legal Issues program, which has already undertaken similar compilations, for example, of 13(c), ADA, and Charter Bus actions and determinations.  To the extent feasible, cooperative funding and participation by that program is encouraged.  However, it is noted that this project would be more complex in that it would require contact with multiple agencies in all 50 states and the territories, rather than focusing on a primary information source such as the Federal Transit Administration (FTA).
IV.       RESEARCH PROPOSED
The project would begin with a review of existing literature on coordination successes and opportunities, particularly as they relate to “barriers,” and would identify instances where state actions actually encourage or foster coordination. ( a recent  United We Ride document identifies Wisconsin as one such example).
The research would also investigate, to the extent possible, “worst case scenarios”’ and unsuccessful attempts at coordination.  It should include a legal research effort to identify and annotate existing laws, regulations, and departmental policies that hinder or work against coordination.  In some cases, the information would be anecdotal, but should still be documented. Confidentiality of sources should be maintained, as appropriate.</t>
  </si>
  <si>
    <t>Integrating Safety into Regional Capital Improvement Programming Processes: Best Practices and Recommended Procedures</t>
  </si>
  <si>
    <t>http://rns.trb.org/dproject.asp?n=15226</t>
  </si>
  <si>
    <t>Problem
Regional planning has long been very sensitive to mobility needs for motor vehicle, transit, and freight transportation.  More recently pedestrian and bicycle mobility and accessibility needs have been meaningfully integrated into regional planning and programming processes. Many MPO capital improvement programming (CIP) processes have very specific performance measures and tools for assessing a project’s potential value and impact on a given regional system.  These tools (e.g. travel demand models, network simulation, individual intersectional capacity analyses) can measure such performance characteristics as change in average vehicle travel time with and without a particular project, or change in bicycle level of service with and without a particular project.  The mobility performance measures used for scoring, prioritizing, and selecting projects allow project impacts to be measured and compared from a system perspective. For example, if a new bypass is proposed, the performance measures used in CIP scoring processes can be used to assess the value of the bypass from a systemwide travel time perspective or corridor congestion relief perspective. 
However, for the most part safety considerations in the CIP process are relatively limited.  Many jurisdictions will pull together a team of experts to conduct a qualitative review of projects where consideration is focused on the project itself and whether or not it can be designed safely.  Some MPOs are integrating a reactive approach whereby proposed projects which are on a high crash list receive scoring benefits to move these projects up the potential list in the selection process.  However, there is limited consideration of the regional level safety benefits that can be achieved through the implementation of one project as compared to another. This would be a proactive approach to integrating safety into the long range planning process and could readily integrate with the policy results of NCHRP 546 Integrating Safety into the Long Range Planning process and the currently on-going component of this project where the feasibility and value of long range safety forecasting models are being explored.
Objective
The purpose of this research project would be to: 1. conduct a literature review and synthesis of current practices to find the state of the practice and best of the approaches to including safety in the CIP prioritization process.  2.  develop and recommend procedures, performance measures, and policies for meaningfully integrating safety into the capital improvement programming process.</t>
  </si>
  <si>
    <t>Estimating Density of Rail Use in Planning for Intercity Rail Networks</t>
  </si>
  <si>
    <t>http://rns.trb.org/dproject.asp?n=14892</t>
  </si>
  <si>
    <t xml:space="preserve">Problem: With growing highway and airport congestion, and with increasing concerns about energy constraints and greenhouse gas emissions, considerable attention has been focused on the potential for increased use of the nation’s intercity freight and passenger railway system as a productive way to resolve these nationwide problems.  Except for the Northeast Corridor, and a few routes in large metropolitan areas, most of the U.S. railway system is privately-owned.  Under deregulation, these railway companies are concerned with optimizing return to shareholders. Investment in new railway capacity, while perhaps in the public interest, must yield rates of return high enough to be competitive with other uses of shareholder equity. However, even with deregulation some residual restraints are imposed by the Surface Transportation Board -- on mergers and route abandonment and price regulations where rail traffic has market dominance.
Recently, increased concerns have been raised about the broader public benefits that could occur from substantial public investment in enhanced intercity freight and passenger rail capacity.  A number of state-led initiatives have begun.  Missing is a broader national perspective, particularly consideration of network options.  For example, some routes could be optimized for passenger and high speed freight use. Clearly, these passenger routes are more productive if a chain of metropolitan areas are served, and if these chains intersect at hubs.  Carload freight routes are more oriented to large classification yards, while unit trains are economic where concentrations of rail traffic occur at mines, power plants, ports or large agricultural tracts.  
Objective: Moving toward a better understanding of network issues would be a key objective of this research study.  This could serve as an important building block in the development of a comprehensive nationwide rail freight and passenger network plan, clearly beyond the scale of this initial exploration.  Network issues would include the relationship of traffic density of freight or passenger service on capacity, cost and environmental impact. In particular, identifying the potential gains that could result from specializing certain rail links largely for either freight or passenger service would be a key output from this research effort. </t>
  </si>
  <si>
    <t>AR010, Intercity Passenger Rail</t>
  </si>
  <si>
    <t>Analysis of Alternatives to CAFE for Increasing Fleet Fuel Economy</t>
  </si>
  <si>
    <t>The purpose of this research is to follow up on the NRC committee work on CAFE and provide analyses of different alternatives to CAFE. An evaluation of different alternative CAFE structures would be performed including, but not limited to gallon target. An example is modification to the existing CAFE structure.
• Fuel economy-based systems, where each manufacturer gets a fleet-average miles per• Attribute-based standards, such as weight, size, and class.
The goal is to provide comprehensive analyses that could be used to explain each alternative; that is, how the concept works and the impact on cost, manufacturer flexibility, fuel consumption reduction, safety, and inequities between manufacturers. To help illustrate the various impacts, the analyses should include likely manufacturer response.
A market-based system, such as continuously variable manufacturer incentives (feebates). • Tradable credits to determine their impact with fuel economy-based systems and attribute based not consider taxes or other mechanisms directed primarily at consumers instead of manufacturers should include the economic efficiency of the system, equity (or fairness), and potential for gaming (loopholes).</t>
  </si>
  <si>
    <t>ADC70, Transportation Energy</t>
  </si>
  <si>
    <t>New Stakeholder Outreach Emphasis in Statewide Transportation Planning</t>
  </si>
  <si>
    <t>Statement of Purpose and Need:  Recent requirements within SAFETEA-LU, plus the increased emphasis by federal and state officials on transportation security, result in the need to reach out to a broader set of stakeholders in the Statewide Planning process.  Statewide Plans can provide the primary means to define, describe and document such outreach efforts and provide representation of a cross-section of organizations and agencies that have not traditionally been considered.  In this context of increased attention and concern about the security of the nation’s transportation systems, it is now more important to engage organizations at multiple governmental levels that deal with emergency response and management, law enforcement, international border security, ports of entry for foreign cargo, and more.  Many of these agencies and organizations have little or no history of working with state DOTs in long-range system planning and prioritizing processes. 
More research is required to ascertain strategic approaches and methodologies for structuring and soliciting input from these new partner agencies.  The research should define how their input can be incorporated in the formation of Statewide goals and objectives, setting of priorities, and identification of new funding partnerships.  Additionally, the research should define the full range of potential partners and the criteria that should be applied to identify most appropriate partners in a given state or regional context.   Research objectives must include guidance and case study examples of effective outreach options prepared for ease of use by State DOT planners and practitioners.</t>
  </si>
  <si>
    <t>ADA10, Statewide Multimodal Transportation Planning</t>
  </si>
  <si>
    <t>Evolving Role of "Mega-Regions" in Statewide Transportation Planning</t>
  </si>
  <si>
    <t>http://rns.trb.org/dproject.asp?n=14286</t>
  </si>
  <si>
    <t xml:space="preserve">Statement of Purpose and Need:  A recent report by the US Regional Plan Association predicts that most of the nation’s population growth and economic expansion between now and the year 2050 will take place in 10 emerging “mega-regions.”  As metropolitan areas grapple with this increased population and compete for the means to pay for the infrastructure required to meet increased demand, new partnerships and a greater level of collaboration will be required to balance transportation goals outlined at both regional and state levels.  Traditional system responsibility, programming authority and service delivery expectations will need to be revisited in light of this shifting demographic and political landscape. 
More research is needed to better understand how Statewide Transportation Plans will need to incorporate regional priorities and perspectives, while still considering geographic equity, system connectivity, and other system wide goals and objectives.  Conflicts will arise between the need to protect long-distance mobility versus reliable access to regional and local activity centers located near critical transportation facilities.  New protocols may be required to engage multiple MPOs, local transportation agencies, and the state DOT in effective planning at this mega-regional scale.  Guidance on the type of decision-making arrangements and the unique roles for state, regional and local entities within this competing context is an important outcome of this research.    </t>
  </si>
  <si>
    <t>Policy Sensitivity: Trip-Based vs. Tour- and Activity-Based Models</t>
  </si>
  <si>
    <t>http://rns.trb.org/dproject.asp?n=14266</t>
  </si>
  <si>
    <t>Problem
The types of questions being asked of travel demand models are expanding well beyond mere traffic projections and transit ridership. Decision-makers are now concerned about the technical assessment of the effectiveness of pricing techniques, transit-oriented development, greenhouse gas consequences, peak spreading, and detailed equity and environmental justice analyses.
The activity-based modeling approach has emerged as a potentially more suitable tool for answering these types of questions than the traditional trip-based approach. When assessing the relative merits of these two types of modeling approaches, one must make the assessment based on not only how well the models replicate observed travel conditions, but also the models’ sensitivity to different demand management policies and strategies. Yet, the policy sensitivities of activity-based models have not been fully vetted.  This research will evaluate the relative effectiveness of trip- and activity-based models at answering these policy questions.
Objective
This research item will be geared toward comparing sensitivities of trip and activity-based models to the following key sensitivity areas:
Price sensitivity, such as in tolling or congestion-pricing applications
Sensitivity to transit-oriented development patterns and the resulting transit ridership consequences
FTA New Starts ridership and user-benefit applicability
Equity and environmental justice sensitivities, such as effects of transportation and development scenarios on low-income or transit-dependent households</t>
  </si>
  <si>
    <t>ADB40, Transportation Demand Forecasting</t>
  </si>
  <si>
    <t>Performance Measurement and Evaluation of Tolling and Congestion Pricing Project Benefits and System Impacts</t>
  </si>
  <si>
    <t>http://rns.trb.org/dproject.asp?n=14259</t>
  </si>
  <si>
    <t xml:space="preserve">RESEARCH PROBLEM STATEMENT
Highway Traffic congestion will likely become worse in the future as demand for highway facilities increases and supply (or capacity) remains stagnant. Peak time spreading, loss of productivity during congested periods and underutilization of existing capacity during off peak periods are some of the current system management challenges. Transportation authorities and organizations around the country and abroad have explored and applied capacity improvement strategies as well as several Transportation Demand Management and Transportation System Management methods in an effort to mitigate the negative consequences of current and future congestion levels.  What has been realized in many areas is that significant capacity expansion opportunities are limited due to environmental, right of way and financial constraints, thus maximizing existing and underused capacity has become paramount.
One of the lesser used tools in the congestion management tool box is tolling and congestion pricing of existing and new infrastructure. However, there is a growing, national momentum within government transportation entities to explore that option and evaluate its performance.  A growing number of states are considering and or implementing tolling and congestion pricing projects such as HOT lanes (Orski, Ken, Innovation Briefs: News Analysis “Highway Tolling has reached the Tipping Point.”). In addition, USDOT just issued a set of national strategies to reduce congestion that includes pricing concepts. (U.S. Department of Transportation, National Strategy to Reduce Congestion on America’s Transportation Network (May 2006) http://isddc.dot.gov/OLPFiles/OST/012988.pdf;  
These options, however, also face considerable political and public pressures. Effective performance assessment and analysis of existing and planned pricing projects is central to gaining public acceptance and use, along with encouraging broader application. Currently, there is lack of knowledge and benchmarking of best practices on how to develop appropriate performance measurements and related data tracking and analysis methods and communicate the results to the public.  
Transportation organizations need assistance in developing and tracking measurements for assessing the benefits and impacts of tolling and congestion pricing strategies.
RESEARCH OBJECTIVE
The research objective is to create a guide that provides departments of transportations (DOT)and Municipal Planning Organizations (MPO) with specific information to develop appropriate performance measures, track data and evaluate and communicate the results of pricing projects based on the various goals but especially in terms of efficiency, system management and maximizing throughput and available capacity.
Specific measures that should be considered during the course of this research include system efficiency;  system management; maximization of throughput and capacity;  efficiency related to collection methods and tools; measures related to user benefit (such as increased travel time and reliability) and measures related to efficiency and equity  in toll revenue allocations.
Due to the limited exiting pricing projects in the US, the research would have to include a detailed look at the use of pricing related performance measures by other countries such as Japan and European countries. </t>
  </si>
  <si>
    <t>Public Private Partnerships-How Do We Evaluate the Deal?</t>
  </si>
  <si>
    <t xml:space="preserve">PROBLEM:    Private toll roads, the leasing of public assets to private corporations, privatized bus services funded by public funds, contractor leasing arrangements, and on and on. All are either being discussed or being put in place in states across the nation. But how does one evaluate “The Deal” to ascertain if it is fair in both the short and long-term, especially to the public? Is there one or a set of models that DOTs or the public sector can use to assess the equity for those involved? Or are the variables too complex and different that prevent this approach?  As PPP’s evolve, can we expect more critical assessment and realistic representations? What do we need to do to improve our assessment and approaches on this emerging topic?
OBJECTIVE:  Purpose of this project is to address these questions:
·         How prevalent are public-private partnerships in state DOTs? How do we know this and where and what are the sources for this information?
·         What indicators are used to measure success to provide evidence that PPPs are bringing a more competitive market discipline to these programs and services, as they are argued and are not simply privatization efforts?
·         What are the different PPP models and variations and which are most appropriate for public transportation?
·         How do you measure the performance of PPPs in relation to more traditional DOT service performance to compare the costs and benefits? 
·         How do you measure customer and stakeholder satisfaction?  </t>
  </si>
  <si>
    <t>RESEARCH PROBLEM STATEMENT
The Intermodal Transportation Efficiency Act (ISTEA) of 1991 authorized establishment of a National Highway System (NHS) to meet defense requirements, serve interstate and interregional travel, and provide an interconnected system of principal arterial routes to serve major population centers, international border crossings, ports, airports, public transportation facilities, and other major travel destinations. The provision of an interconnected system was to include principal arterials and other highways providing connections to major intermodal terminals, including airports.  With passage of the National Highway System Designation Act of 1995, the US Congress developed specific criteria for identifying connector roads serving various types of major intermodal facilities. For commercial aviation airports, the primary criteria were as follows for major intermodal facilities:
Passengers: scheduled commercial service with more than 250,000 annual enplanements, or
Cargo: 100 trucks per day in each direction on the principal connecting route, or 100,000 tons per year arriving or departing by highway mode. 
An airport not meeting a primary criterion could be designated as an NHS facility if it met a secondary criterion regarding volumes (passenger or freight) or other considerations identified in the legislation. States subsequently identified more than 150 airports meeting the primary or secondary criteria. Of these, about two thirds handled freight and, in most cases, also handled passengers. The remaining airports were designated on the basis of meeting criteria for passengers but not for freight.  In 1998, Congress passed the Transportation Equity Act for the 21st Century (TEA 21), which included a provision that the Secretary of Transportation conduct a review of NHS freight connectors, including those serving airports, and to report the results of this review to Congress by June 9, 2000. To meet this requirement, the Federal Highway Administration (FHWA) evaluated the condition of 1,222 miles of NHS connectors to 616 freight terminals, including 221 miles of connector roads to 99 freight-handling airports.  As part of the analysis, the FHWA also reviewed improvements and investments made or programmed for these connectors, and identified impediments to and options for making improvements to the connectors. In their review, the FHWA did not look at conditions, needs, etc. for connectors serving airports identified on the basis of passenger criteria only.  Much of the data on condition, improvements, investments, impediments, and options now is about 10 years old for the freight airports that were included in the FHWA review.
OBJECTIVES
The objectives of this research are to update existing and collect new data and information on condition and needs for NHS intermodal connector roads between major highways and freight and passenger airport facilities, and identify how states, local and regional governments, airports, and others can use policy, planning, and programming activities to implement solutions for the needs identified. 
RESEARCH PROPOSED
Research for this project would include, but is not limited to, the following tasks.
Task 1. Using NHS data from the FHWA, establish an inventory/database of currently designated connector roads between major highways and freight and passenger airport facilities. Summarize existing FHWA data and other information on condition and needs for NHS connector roads between major highways and freight and passenger airport facilities.
Task 2. Work with the FHWA, the Federal Aviation Administration, state transportation and other agencies, local jurisdictions, and airports to update existing data and information and generate new data and information as needed on condition and needs for NHS connector roads between major highways and freight and passenger airport facilities.
Task 3. Analyze where connector conditions are worst and needs greatest similar to procedures used in Intermodal Freight Connectors: A Report to Congress (see U.S. DOT report in “Related Research” below). Consider developing performance criteria, a scorecard of connector conditions, and case studies for large and small airports.
Task 4. Document challenges to implementing solutions for meeting NHS connector road needs between major highways and freight and passenger airport facilities, giving special attention to the connectors where the conditions are worst and the needs are greatest.
Task 5. Recommend strategies and procedures for implementing solutions to meet the transportation needs for NHS connector roads between freight and passenger airport facilities and major highways.</t>
  </si>
  <si>
    <t>National Highway System Connector Roads to Airports: Condition and Needs</t>
  </si>
  <si>
    <t>Road Pricing Concepts and Projects: Educating &amp; Informing User Groups &amp; The Public</t>
  </si>
  <si>
    <t>Problem Statement:
The current system of funding our roads and highways does not provide sufficient capacity or quality of service for all who want to use them, and traffic congestion has grown to such an extent that building new roads by itself will not solve the problem.  Recent research has shown that the public and key transportation stakeholders do not have a sense of the comparative costs and benefits of various solutions to traffic congestion, particularly congestion pricing.  Therefore, it would be valuable to research, design, develop and pilot test a national public education and outreach initiative on congestion pricing that attempts to highlight the full spectrum of costs, benefits and impacts.  The first step in such an effort would be a review of state, local, and regional efforts that have been undertaken. 
This research effort would provide a synthesis of efforts undertaken nationally and internationally by both successful and unsuccessful pricing projects to highlight best practices and lessons learned about public messages and communications programs.  The research would identify proven practices on gaining input for effective message development, and crafting the public message content and communication techniques including effective delivery mechanisms. 
The research would also be designed to assess specific approaches to elicit an ongoing dialogue with roadway users to ensure adequate input and appropriate responsiveness to specific stakeholder needs.  The research would identify and assess the various mechanisms used to solicit input and develop responsive strategies to address the costs, benefits, perceptions and issues of both proponents and opponents of pricing.  In particular, the research would seek to highlight techniques for encouraging dialogue on critical issues related to road pricing, including the disposition of revenues, the effects on economic activity, means of addressing equity concerns, and issues of privacy.</t>
  </si>
  <si>
    <t>Assessment of Freight Needs in Urban Transportation Planning</t>
  </si>
  <si>
    <t xml:space="preserve">http://rns.trb.org/dproject.asp?n=14115 </t>
  </si>
  <si>
    <t>Problem Statement
While a number of efforts to integrate freight issues into transportation planning at the urban level have been made over the past decade, there still exists a significant gap in understanding data needs, what the freight issues are relative to the historical planning objectives within urban areas, how to define the problem(s), what the term freight really means within the context of an urban area, and the dichotomy that exists between national and state needs and issues versus the local (i.e., urban) needs and issues.
Study Objective
The study objective is to perform a critical assessment of freight as it relates to urban transportation planning.  Freight is one of the major issues to be addressed within the context of the continuous, cooperative, and comprehensive transportation planning process at the urbanized level.  While this directive was incorporated into the Intermodal Surface Transportation  Efficiency Act of 1991 (ISTEA) and the Transportation Equity Act for the 21st Century (TEA 21), the actual accomplishment of this objective has been somewhat mixed due to a lack of clear understanding of what the problem and issues were at the urban level.  The proposed research should address the following questions:
1.                  What do agencies responsible for transportation planning at the local level perceive the problems and needs at the local level to be in terms of freight?
2.                  What are these agencies doing now to consider freight in their long range plans, transportation improvement programs, and annual work programs?
3.                  What do these agencies identify as their need(s) in terms of freight data at the local level? 
The answers to those questions may form the basis for developing recommendations for a freight data program at the local level that would meet the data needs for local planning agencies.  It would also provide a starting point to understanding where the gaps exist between local data needs and state and national data sources.</t>
  </si>
  <si>
    <t>ABJ40, Travel Survey Methods</t>
  </si>
  <si>
    <t>AHB40, Highway Capacity and Quality of Service</t>
  </si>
  <si>
    <t>Multimodal Intersection Level of Service</t>
  </si>
  <si>
    <t xml:space="preserve">http://rns.trb.org/dproject.asp?n=13888 </t>
  </si>
  <si>
    <t>RESEARCH PROBLEM STATEMENT
Throughout the U.S. there is a desire to evaluate the quality of transportation service of its roadways from a multimodal perspective.  The Transportation Equity Act for the 21st Century (TEA-21) calls for the mainstreaming of transit, pedestrian and bicycle projects into the planning, design and operation of the U.S.’s transportation system.  Largely in response to TEA-21, NCHRP Project 3-70 (Multimodal Level of Service for Urban Streets) has been funded and is nearing completion.  Whereas that project concentrated on integrating modal level of service analyses at the facility level and incorporating those techniques into the HCM, it did not concentrate on multimodal interactions at the intersection level, where the greatest amount of interaction among the modes occurs.
The current signalized intersections and unsignalized intersections chapters of the HCM2000 essentially only address the level of service of the automobile mode.  Automobiles, buses, pedestrians, and bicycles are all potential users of urban street intersections.  At urban street intersections the modes also interact with each other such that improvements in quality of service to one mode may improve or lower the quality of service for another mode. 
Compounding the problem of an integrated multimodal approach to evaluate intersections is relatively little research conducted on how actual travelers evaluate quality of service at intersections.  Level of service for motorized vehicles in the HCM2000 is based on control delay, but that service measure has not been verified.  Recent pedestrian and bicycle research in Florida has involved actual pedestrians and bicyclists in determining level of service thresholds at intersections.  Initial conclusions are that the level of service thresholds among the modes do not align well.  For example, LOS D for travelers in motorized vehicles may be considered quite acceptable, whereas for nonmotorized vehicle travelers, LOS D may be considered quite bad.
RESEARCH OBJECTIVES
The objective of this research project is to develop a multimodal urban street intersection level of service analysis methodology and to document the methodology for the next update of the HCM.  Major research activities would involve:
·           developing and validating quality/level of service performance measures and thresholds for travelers in motorized vehicles based on actual traveler perceptions,
·           developing and validating quality/level of service performance measures thresholds for pedestrians and bicyclists based on actual traveler perceptions,
·           developing a simultaneous, integrated multimodal urban street intersection analysis methodology, and
·           documenting the methodology for use in the next update of the HCM.</t>
  </si>
  <si>
    <t>ABJ95, Visualization in Transportation</t>
  </si>
  <si>
    <t>The Development of 'Guidance' for the Use of Visualization within the Transportation Planning Process</t>
  </si>
  <si>
    <t>RESEARCH NEED:   The general consensus is that there is not adequate 'guidance' for use by transportation system planning personnel in the application of visualization methods and techniques required under SAFTEA-LU. 3D/4D visualization tools used in the engineering development do not directly meet the needs of planners for collaboration in the user needs and requirements identification process.  
OBJECTIVE: To develop user guidance for transportation system planning professionals on alternative visualization tools and their recommended application.</t>
  </si>
  <si>
    <t>Establishing Equity Measures for Environmental Justice Cost-Benefit Analyses</t>
  </si>
  <si>
    <t xml:space="preserve">Problem Statement
There are many definitions of the term â€œequity.â€ The way equity is defined influences the distributive goals of an action. Cost-benefit analysis, for example, usually employs the utilitarian concept of equity: the distribution of goods and/or services that maximizes total welfare or social utility. The alternative with the highest net benefit is the â€œwinner.â€ However, this approach does not address the distributions of benefits or burdens on specific populations because it does not consider individual or community factors. An alternative with the highest net benefit could concentrate benefits in one population segment and burdens in another. Such an outcome may lead to potential environmental justice problems. Thus, it is important to understand which standards of equity can meet environmental justice requirements and how to operationalize them in ways that facilitate their inclusion in cost-benefit analyses. This may mean disaggregating analysis of costs and benefits to the local level.
Proposed Research: Drawing on the rather recent research of the Special Committee on Equity in Transportation Finance, 1. Identify the most common concepts of equity, summarize how they have been applied in practice and evaluate their consistency with environmental justice standards. Perform a literature search and survey current practice. 2. Synthesize a proposed equity definition that is consistent with environmental justice principles. Circulate proposed definition(s) among representative practitioners, legal staffs, and interest groups for input. 3. Develop a set of indicators that can be used to determine equity in transportation projects and policy impacts consistent with environmental justice principles. Circulate proposed indicators among representative practitioners, academic researchers, and interest groups for input. Test potential indicators for effectiveness in practical applications. 4. Where possible, develop value measures for these indicators appropriate for use in cost benefit evaluations. Test proposed measures for utility in cost-benefit analysis, consistency with NEPA and other environmental justice requirements, and the effectiveness in capturing the differential values (positive and negative) of project- and policy-induced changes. </t>
  </si>
  <si>
    <t>Economic Viability and Community Impact Assessments in Transportation Decision Making</t>
  </si>
  <si>
    <t xml:space="preserve">Problem Statement
Transportation decision makers and stakeholders have touted the economic development benefit of improvements to our transportation infrastructure. It is important to understand transportation environmental justice and equity, and balance the incidence of impacts in decision making. One familiar axiom is that four-lane roadways are directly tied to economic development. In many state highway departments it is widely accepted that any roadway expansion project will spur economic development and provide jobs. However, there are no hard data to demonstrate under what situations roadway expansion will provide economic development opportunities. The community impacts, including the effects of business relocations, are particularly important elements to evaluate in the decision to widen a roadway. Many businesses that have developed next to the roadway are dependent on the traffic and their specific location. Traditionally, business impacts are handled under the areas where four lanes are not needed for capacity, it has not been documented that roadway expansion draws industry and provides jobs. Unfortunately, these project decisions are often not made in the context of the overall community impacts. It may not always be in the best interest of the community to sacrifice wider sidewalks, bikeways, on-street parking, and other nonvehicular elements to provide extra roadway travel lanes on low-volume roadways.
Proposed Research
The research will involve a review of projects where economic development has been the primary, stated project purpose and need of a proposed roadway expansion project. Roadways are often expanded to four lanes, where projected capacity warrants only two lanes. Use of existing case studies and available research will demonstrate if economic development and jobs result from roadway expansion. This research must include assessing the resulting community impacts. On balance, were impacts such as community cohesion, visual resources, pedestrian facilities, and bicycle accommodation as important as roadway expansion in decisionmaking? Without a good community profile, by means of a CIA, the real economic vitality, benefits, and impacts cannot be assessed. Standard models provide little information on CIAs or social and economic differences. Also, the researcher must consider the impacts on different social and economic communities to examine the equitable distribution of the costs and benefits of project development. The research should focus particularly on the effect of business impacts and their relocation on communities. Often small businesses along the roadway play a large role in the community. Factors of decisionmaking can extend well beyond the economic benefits provided. A new business at a new location may or may not provide a few extra jobs. How can this be predicted? Also, what is the real cost to the community from the loss of business at a particular location? Perhaps a wider sidewalk, rather than an extra travel lane, is a better economic enhancement. The researcher must appreciate definitions of social equity and environmental justice and develop processes for evaluation of impacts and their distribution. Research is needed to understand the community dynamics and interplay with economic development for state highway departments and other decision makers to best serve the public interest in roadway expansion projects. Uniform Relocation and Real Property Acquisition Act. Impacts are mitigated primarily from a real estate value perspective. This ignores the importance of individual businesses to the fabric of the community. Business losses can even result in reductions in overall property values in the neighborhood and/or community. These factors and impacts are often unknown without a detailed community impact assessment (CIA). </t>
  </si>
  <si>
    <t>Assessing the Impact of New Transportation Investments and Emerging Transportation Technologies on Traditionally Underserved Groups</t>
  </si>
  <si>
    <t>Problem Statement
Transportation investments produce different benefits for different members of the public. Decision makers often need to know how these benefits may be distributed, especially on traditionally underserved social groups. Compared to prior studies that focus on the measurement of direct outputs of transportation improvements such as more lane miles, however, the measurement of benefits (or outcomes) realized by different social groups is complex. Prior studies often measure benefits as a function of outputs from agency activities rather than outcomes that are the social and economic changes resulting from service provision. Perhaps this is one reason why the social benefits of different forms of transportation investments are so frequently overlooked.
Proposed Research. This research will be undertaken in three phases. The first phase will be a literature search and review of current research focusing on identifying those theories and associated methodologies that may be adapted to assess the impact of new transportation investments and emerging transportation technologies on traditionally under-served groups. The second phase will operationalize those methodologies in ways that may be used to address key issues relating to the proposed research. The third phase will apply those methodologies to a pilot study to test their ability to generate results that are useful to decision makers concerned about how traditionally underserved social groups may benefit from new transportation investments and emerging transportation technologies. Complicating the picture are emerging transportation technologies and their potential to benefit social groups differently. The difference in distribution and the level of benefits in part is based on different choices in location and travel behavior. It is well known that, within regions, households make location choices as a function of preferences and economic constraints. This process produces â€œsorting,â€ or geographic clustering of similar types of households into neighborhoods on the basis of social and economic characteristics. Because transportation benefits are distributed geographically and influence household location patterns based on their social and economic class, the examination of the spatial patterns of benefits associated with new transportation investments, and emerging transportation technologies, has implications for traditionally underserved social groups. This takes the rather recent work of the Special Committee on Equity in Finance to another level of research Cost: $450,000 Duration: 30 months
Complicating the picture are emerging transportation technologies and their potential to benefit social groups differently. The difference in distribution and the level of benefits in part is based on different choices in location and travel behavior. It is well known that, within regions, households make location choices as a function of preferences and economic constraints. This process produces ï¿½sorting,ï¿½ or geographic clustering of similar types of households into neighborhoods on the basis of social and economic characteristics. Because transportation benefits are distributed geographically and influence household location patterns based on their social and economic class, the examination of the spatial patterns of benefits associated with new transportation investments, and emerging transportation technologies, has implications for traditionally underserved social groups.</t>
  </si>
  <si>
    <t>Real-Time Transfer of Information to the Customer</t>
  </si>
  <si>
    <t>http://rns.trb.org/dproject.asp?n=13579</t>
  </si>
  <si>
    <t xml:space="preserve">Problem:
    Transportation agencies have the ability to collect considerable data about how a transportation facility is performing. As technology becomes more and more sophisticated, transportation agencies have the ability to make real-time performance date available to the customer. Research is needed to determine costs and benefits of real-time transfer of performance data to the customer.
    Specifically, research is needed to determine the effectiveness of real-time data to influence travel decisions of individuals, passenger transportation service providers, and freight haulers. This research is especially important for influences on travel among regions and states to support the development of effective data exchanges among states under section 1201 of SAFETEA-LU.
Objectives:
    Research the best practices and cost-benefit of real-time transfer of performance data to the customer.
    Document the success of real-time data as influence on individual travelers to adjust travel patterns based on the availability of data.
    Determine what information is needed and how to make it available to the customer in a useful framework that will contribute to the spread of demand between modes to optimize system capacity.
    Research how quickly travelers can absorb and change choices. </t>
  </si>
  <si>
    <t>ABJ20, Statewide Transportation Data and Information Systems</t>
  </si>
  <si>
    <t>Cost of Alternative Finance Systems</t>
  </si>
  <si>
    <t xml:space="preserve">http://rns.trb.org/dproject.asp?n=13546 </t>
  </si>
  <si>
    <t xml:space="preserve">http://rns.trb.org/dproject.asp?n=13102 </t>
  </si>
  <si>
    <t xml:space="preserve">http://rns.trb.org/dproject.asp?n=13016 </t>
  </si>
  <si>
    <t xml:space="preserve">http://rns.trb.org/dproject.asp?n=12612 </t>
  </si>
  <si>
    <t xml:space="preserve">http://rns.trb.org/dproject.asp?n=12698 </t>
  </si>
  <si>
    <t xml:space="preserve">http://rns.trb.org/dproject.asp?n=12701 </t>
  </si>
  <si>
    <t xml:space="preserve">http://rns.trb.org/dproject.asp?n=13631 </t>
  </si>
  <si>
    <t xml:space="preserve">http://rns.trb.org/dproject.asp?n=13632 </t>
  </si>
  <si>
    <t xml:space="preserve">http://rns.trb.org/dproject.asp?n=13633 </t>
  </si>
  <si>
    <t xml:space="preserve">http://rns.trb.org/dproject.asp?n=13829 </t>
  </si>
  <si>
    <t xml:space="preserve">http://rns.trb.org/dproject.asp?n=13844 </t>
  </si>
  <si>
    <t xml:space="preserve">http://rns.trb.org/dproject.asp?n=13930 </t>
  </si>
  <si>
    <t xml:space="preserve">http://rns.trb.org/dproject.asp?n=14108 </t>
  </si>
  <si>
    <t xml:space="preserve">http://rns.trb.org/dproject.asp?n=14200 </t>
  </si>
  <si>
    <t xml:space="preserve">http://rns.trb.org/dproject.asp?n=14159 </t>
  </si>
  <si>
    <t xml:space="preserve">http://rns.trb.org/dproject.asp?n=14156 </t>
  </si>
  <si>
    <t xml:space="preserve">http://rns.trb.org/dproject.asp?n=14214 </t>
  </si>
  <si>
    <t xml:space="preserve">http://rns.trb.org/dproject.asp?n=14405 </t>
  </si>
  <si>
    <t xml:space="preserve">http://rns.trb.org/dproject.asp?n=14287 </t>
  </si>
  <si>
    <t xml:space="preserve">http://rns.trb.org/dproject.asp?n=14260 </t>
  </si>
  <si>
    <t xml:space="preserve">http://rns.trb.org/dproject.asp?n=14282 </t>
  </si>
  <si>
    <t xml:space="preserve">http://rns.trb.org/dproject.asp?n=14206 </t>
  </si>
  <si>
    <t xml:space="preserve">http://rns.trb.org/dproject.asp?n=14210 </t>
  </si>
  <si>
    <t xml:space="preserve">http://rns.trb.org/dproject.asp?n=14289 </t>
  </si>
  <si>
    <t>There is growing evidence that the motor fuel tax, the primary source of transportation funding at the federal and state level, may not be sufficient to cover operation and maintenance costs of the existing highway system nor the cost of replacement and capacity enhancement of congested segments of the current network.  After adjusting for inflation and increases in fuel efficiency over the years, the motor fuel tax today generally provides approximately one-third of the purchasing power it did in the 1960s, notwithstanding increases in fuel tax rates over the decades. 
Fuel-based revenue shortfalls are expected to increase in the future, as we move to increased utilization and efficiency (as measured by miles per gallon) of hybrid and alternative fuel technologies.  The impacts of these revenue shortfalls are becoming increasingly well recognized throughout the transportation community.  For example, TRB has convened a special task force to consider the long-term viability of the gas tax as the primary transportation funding source in the United States.  The recently enacted SAFETEA-LU includes a provision (Section 1909(b)) that establishes a National Surface Transportation Policy and Revenue Study Commission to explore a range of legislative and policy approaches for the nation’s highway system, including alternative revenue mechanisms.
While it is likely that the gas tax will continue to be used into the next decade or more, it is increasingly likely that it will need to be supplemented, and ultimately replaced, by one or more forms of use-based fees.  These include mileage-based assessments, high-occupancy toll (HOT) lanes, peak-hour pricing, and a variety of innovative methods to efficiently and effectively price the use of highway capacity and manage demand.  A major research project in 2003, co-sponsored by 15 states, considered the possibility of moving toward a mileage-based user fee.  The Oregon Department of Transportation is undertaking its own research and demonstration project looking at the feasibility and distributional effects of mileage based user fees in that state. 
Historically, implementing tolling or other means of non-fuel-based taxation and fee collection have required substantial investments in both capital and labor for toll collection, administration, and toll system financial management.  The potential to use tolls and pricing is significantly dependent on our ability to introduce technological changes that have the potential to lower the cost of collecting tolls, monitor usage for various forms of pricing, and expand the portions of the network for which revenues can be collected from major limited access highways to virtually any element of the highway system. 
However, it is also becoming clear that alternatives to the fuel tax may substantially increase the cost of collecting revenue – especially when initial investments in advanced technologies and collection systems are considered.  In addition, commitment to any particular form of pricing or toll collection may affect future performance and efficiency of these systems by setting in place a specific (legacy) infrastructure.  Hence, it is desirable to determine the cost and benefits of various pricing systems, evaluate how these are likely to change over the foreseeable future, and assess how compatible various systems are with each other and with the phase-out of the fuel tax.  Different approaches to pricing and tolling will have different effects on the efficiency of management of the road system.  In addition, the shift in reliance away from fuel taxes and toward alternative pricing systems will affect both the administrative and compliance costs of future revenue generating systems.  Ultimately, there must be some balancing of the cost of various pricing systems with the benefits that are likely to occur.</t>
  </si>
  <si>
    <t>Distribution of the Value of Travel Time Savings</t>
  </si>
  <si>
    <t>http://rns.trb.org/dproject.asp?n=13545</t>
  </si>
  <si>
    <t xml:space="preserve">The value of travel time savings (VTTS) is a critical input to benefit-cost analysis, understanding traveler behavior, and determining the best use of transportation capital funds. How to select a proper VTTS has been the subject of numerous empirical and modeling studies, however almost all such investigations have produced average values for the entire urban population or for large subgroups of travelers. There also exists some research on the value of travel time reliability, which is a closely related although distinct consideration. 
The use of average VTTS has the virtue of being simple and avoiding certain pitfalls related to social equity, in which planning recommendations might otherwise be dominated by benefits gained by extremely high value-of-time travelers, who may disproportionally include the rich. The problem with the average VTTS approach is that it assumes a normal distribution when the actual distribution may be skewed.
Improved knowledge of disaggregate VTTS variations within a given traveling population is of increasing interest with regard to understanding travel behavior, especially due to a growing national interest in incorporating innovative pricing elements within transportation planning alternatives. If the actual VTTS distribution is indeed skewed, which is likely given that the income distribution is negatively skewed, the traffic redistribution and revenue consequences of pricing measures will be incorrectly estimated.
Evidence suggests that an individual’s value of time saved, while related to income and other demographic characteristics, varies considerably for the same individual on different occasions. This can be seen in patterns of use of optional express toll facilities (e.g., HOT lanes) where the same people make different route choices on different days, even where amounts of travel time saved by selecting the congestion-free toll facility are essentially the same. Clearly, in addition to demographics, the VTTS of individuals depends on factors such as trip purpose, the magnitude of time saved per trip, who pays (traveler, the traveler’s employer, etc.), and the possibility of engaging in other productive or pleasurable activities while traveling.
Several areas that merit additional research include:
    Advancing theory and empirical evidence about the distributions of VTTS for populations and for major subgroups of travelers in different settings, including the distributions of VTTS for different types of commercial travel.
    Advancing theory and empirical evidence concerning variations in VTTS for particular individuals for different trip types and different travel situations. Included among considerations meriting attention is the potential non-linearity of VTTS with respect to the amount of time saved per trip (e.g., the value of 15 minutes saved is probably not 5 times the value of 3 minutes), and the need to distinguish the benefits of time savings due to operational improvements from the benefits of improved trip time reliability.
    Developing models and valid procedures for aggregating disaggregate information about VTTS distributions in order to provide accurate estimates of how the typical population traveling during a given time period in a given corridor or facility will respond to alternative pricing options, for example, pricing based on time-of-day and vehicle occupancies. 
Clarifying how VTTS varies across populations and across the different trip types made by individuals, and its interplay with reliability, will allow planners to better estimate the potential use of toll facilities, including managed lanes and HOT lanes. Better information about these distributions will also contribute to increased understanding and improved methods for estimating the net societal benefits of these facilities – as the travelers choosing to use optional toll facilities often value their time savings very highly for the particular trips in question. It will also contribute to better understanding of how toll facilities provide congestion insurance to travelers who on occasion desperately need to travel quickly, where using an average VTTS greatly underestimates the value of this option.
A related issue revolves around the productive use of travel time, since in some cases, due to technologies available en route, travel time may no longer be “lost” to productive business. The standard example on this front is the use of laptops on trains and planes, where work can be done almost as from the workplace. More investigation is needed into the effect of this phenomenon on VTTS. </t>
  </si>
  <si>
    <t>AHB30, Vehicle-Highway Automation</t>
  </si>
  <si>
    <t>Vehicle-Highway Automation - Policy Implications</t>
  </si>
  <si>
    <t>http://rns.trb.org/dproject.asp?n=13423</t>
  </si>
  <si>
    <t>Problem: The policy issues that will need to be addressed as the potential for V-HA systems is realized need to be identified and linked to ongoing research and to deployment planning processes. Both intended and unintended outcomes of deploying (or not) various levels of V-HA are unclear. What is clear is that the effects of V-HA will play out at the core of the country’s future social and economic life. As a result, absent a comprehensive and accepted accounting of the issues, proponents and opponents alike may be prone to make overstated claims about the benefits and costs of V-HA systems seeking to selectively scope the issues ahead of the policy debates. The committee proposes research to investigate the nature of the policy choices that will flow from deploying V-HA systems for moving people and goods efficiently, safely, and benignly with respect to the environment considering such issues as equity, privacy, accessibility, and others. Specific topics could include the following:
(1) Assessing comparatively the policy implications of V-HA vs. “Do nothing” alternatives, i.e., more vehicle-centered autonomous or free agent systems, from different perspectives.
(2) Understanding driver acceptability and willingness to pay/purchase automated systems under different conditions
(3) Investigating driver behavior with the introduction of warning, assistance, and control systems and subsequent changes drivers may make to compensate for safety benefits associated with such systems by adopting riskier driver behaviors and thus bringing insurance and liability-related policy issues into play
(4) Understanding more completely the tradeoffs between the technological and institutional elements of V-HA/AVCSS deployment, and
(5) Investigating the policy implications of V-HA systems vis-à-vis their environmental and energy impacts.
Objective: Identify the societal, institutional and economic arenas, and the stakeholders, that will be impacted by the ongoing deployment of vehicle and highway automation into 1) the driving process and 2) the management of highway traffic. Develop the agenda for the research that must be conducted to support timely recognition of how addressing policy issues must be part of proposed deployment programs.</t>
  </si>
  <si>
    <t>Management of Roadside Trees</t>
  </si>
  <si>
    <t>RESEARCH PROBLEM STATEMENT
Statistics show that from 2007 through 2009 there were over 11,400 fatalities that resulted from crashes into trees. (Source: Fatal Analysis Reporting System, NHTSA).  These crashes accounted for half of the fixed object fatalities and nearly 20% of all roadway departure fatalities. To reduce the numbers of people being killed on the nation’s highways, it is critical that guidelines be developed which consider the risk posed by these objects so that this risk can be managed appropriately. In areas where trees are present along the roadside, a process is needed to determine the level of risk to the motorist. When considering the placement of new trees a similar process should be considered. To that end a better understanding is needed of highway characteristics which experience a higher proportion of motor-vehicle tree crashes, such that trees may be planted with an acceptable lateral offset or maintained in their existing locations without compromising motorist safety. 
It is not the intent of this project to prove that inclusion of trees is the right thing or wrong thing to do.  There is a need for guidance for decision-makers to use in analyzing the risk associated with placement of roadside trees and the maintenance of existing trees.  Research is needed to learn how roadside trees can be introduced and maintained without compromising safety.</t>
  </si>
  <si>
    <t>AFB20, Roadside Safety Design</t>
  </si>
  <si>
    <t>Not all Dementias Are Alike: Implications for Driver Safety Promotion</t>
  </si>
  <si>
    <t xml:space="preserve">http://rns.trb.org/dproject.asp?n=32336 </t>
  </si>
  <si>
    <t xml:space="preserve">http://rns.trb.org/dproject.asp?n=32328 </t>
  </si>
  <si>
    <t>I  PROBLEM
How do different forms of cognitive impairment impact critical driving skills? What intervention strategies are needed to better inform helping professions, licensing authorities, individuals, and family members regarding awareness of variation in impairments by dementia type? How might strategies to promote safe mobility differ by dementia type?
Over the past decade, transportation and aging researchers have increased our understanding of Alzheimer’s disease and it impact on critical driving skills (1, 2, 3, 4). While some noted attention has been paid to other dementias (5, 6), much less is known about how those dementias impact critical driving skills in ways other than the impacts observed in persons with Alzheimer’s disease.  
II.   OBJECTIVE
The objectives are twofold: 1) Document evidence of the similarities and differences across dementias related to the impact on critical driving skills; and 2) Increase awareness of those similarities and differences and their implications for safety research and practice. The following research activities are envisioned:
a.       Conduct a literature review of multiple forms of dementia and their impact on critical driving skills. The review should culminate with identifying research gaps or encouraging replication of studies previously conducted with persons with Alzheimer’s disease to validate what measures are transferrable to other cognitive impairments; what impacts on critical driving skills remain constant across dementias; and where impacts may differ by specific dementia.
b.Convene three expert panels: 1) health professionals responsible for screening and assessment of impaired drivers; 2) Medical Advisory Board members associated with licensing authorities; and 3) patient care advocates representing dementia-specific organizations.
c. Pending the outcomes of activities a and b, determine if sufficient evidence exists to develop informational/toolkit training materials targeted to professionals and to individuals and their family members. (Note: It may be that the first wave of materials developed will be more general in nature to introduce the broad evidence and encourage further research and development of targeted practice strategies).
d. Pilot test the toolkits and information developed in item c.
e. Work with patient care advocacy organizations to disseminate the information.</t>
  </si>
  <si>
    <t>ANB60, Safe Mobility of Older Persons</t>
  </si>
  <si>
    <t>Acceptable Heat Affected Zone Toughness of A709 Bridge Steel</t>
  </si>
  <si>
    <t xml:space="preserve">http://rns.trb.org/dproject.asp?n=29365 </t>
  </si>
  <si>
    <t>I.  RESEARCH PROBLEM STATEMENT
Research must be performed to establish the acceptable limits of heat affected zone (HAZ) toughness for all welding processes currently allowed by the AASHTO/AWS D1.5 Bridge Welding Code (SMAW, SAW, FCAW, GMAW, and ESW) using ASTM A709 bridge steels.
It is well established that the most brittle part of a ferritic steel weld is in the HAZ due to its coarse grained structure and carbide dissolution due to the weld thermal cycle.  The American Welding Society (AWS) has never prescribed a HAZ toughness requirement for welds used in bridge fabrication.  The only qualifications of weld metal prescribed in the AWS Bridge Welding Code (AWS D1.5) are macroetches, side-bend tests, reduced section tension test, Charpy V-notch (CVN) and all-weld-metal tension tests.  While the side bend and reduced section tension test do include the HAZ, each is just a statically loaded test.  Since bridges are subject to variable loading, fatigue and fracture become a concern and AWS currently does not prescribe a dynamic test that includes the weld HAZ.
Other industries outside of bridge commonly perform HAZ toughness testing as part of their welding procedures.  The CVN test may be used; this entails cutting a longer than normal specimen, macroetching it to identify the HAZ location, then cutting out a CVN specimen such that the notch is in the HAZ.  While the test does nominally increase the cost to the qualification of a welding procedure, it is recognized in other industries to be integral to the development of sound welding procedures.  The use of crack-tip opening displacement fracture testing has also been successfully implemented to measure HAZ toughness.
HAZ toughness measurement was performed in development of the Narrow Gap Improved Electroslag Welding (NGI-ESW) process sponsored by FHWA in the 1980’s and 90’s.  As plates became thicker and higher strength they required higher heat inputs and this adversely affected the HAZ toughness.  In some cases, depending if it was a fracture-critical application or not, the resulting HAZ toughness was inadequate when using the AASHTO requirement for base and weld metal.  Unfortunately, NGI-ESW welding process may be unnecessarily penalized because some owners require HAZ testing of ESW but not other processes.  Some ESW research has shown in certain situations it may have inadequate HAZ toughness leading owners to specify this additional testing, though AWS and AASHTO are both silent on what the HAZ toughness should be.  HAZ properties are a function of the base metal, the welding process, and its execution. 
II.  LITERATURE SEARCH SUMMARY
A TRID search was performed using the search terms “HAZ” AND “toughness”.  There were multiple hits that discussed the testing of HAZ toughness in the marine and offshore industries.  While this research maybe of relevance in a literature review for the proposed problem statement, these other research did not use ASTM A709 steels.
The most relevant literature that was identified was a FHWA sponsored project entitled “Fracture Toughness and Weldability Tests for Submerged Arc Welded Joints, FHWA/RD-87/020”.  This project did investigate the HAZ toughness issue in A514 and A588 steels that were welded with SMAW and SAW processes.  This research did identify that HAZ toughness can be lower than the weld metal, however a recommendation of the project was further research to determine the significance of the lower values.  It should also be noted that since this research was performed, HPS steels have been introduced to the market, the A514 material has been removed from the A709 specification, and the project did not evaluate FCAW, GMAW, and ESW welding processes.
FHWA also sponsored a project entitled, “Heat-Affected Zone Toughness of Electroslag Weldments, FHWA-RD-93-014” to investigate the HAZ toughness of electroslag welds.  It showed that ESW welds in A36 and A588 could achieve Zone 2 non-fracture-critical toughness, but highlighted the sensitivity of making this measurement and urged the need to minimize the heat input to attain desirable CVN toughness.  Again, this project was limited to the testing of A36 and A588 steel and just one welding process.
III.   RESEARCH OBJECTIVE
The objective of the research project is three-fold;
· Experimentally determine the HAZ toughness of many types of A709 steels using the five allowable welding processes of AWS D1.5. This should explore maximum heat inputs that are allowed by AWS through the use of existing qualified weld procedures for a variety of different types of A709 steel and thicknesses.
·  Since the first objective focuses on current acceptable welding techniques, analyze the HAZ toughness criteria to determine an acceptable target of HAZ toughness, and
· Recommended changes to relevant AASHTO or AWS documents to enforce HAZ toughness requirements.</t>
  </si>
  <si>
    <t>AFH70, Fabrication and Inspection of Metal Structures</t>
  </si>
  <si>
    <t>Repair of Older Bridges by Welding</t>
  </si>
  <si>
    <t xml:space="preserve">http://rns.trb.org/dproject.asp?n=29360 </t>
  </si>
  <si>
    <t xml:space="preserve">Research Problem Statement
This project will contribute to implementing AASHTO-HSCOBS “Grand Challenge 1: Extending Service Life.” 
Severely limited budgets necessitate cost-effective repair of older bridges. Repairing a member of a metal bridge is frequently less expensive than fabricating a new one. If the bridge is historic, there is an additional cultural benefit of preserving members because they are primary witnesses to the nation’s industrial heritage.
Arc welding is economical for localized repair of damaged steel and iron members. Corroded areas can be restored to original profile by padding, and new steel can be joined to old to replace severely damaged sections. However, engineers are reluctant to specify welded repairs to old material, in part because AWS codes do not pre-qualify welding procedure specifications for wrought iron or for steel produced before the introduction of Grade 36, circa 1962.
Engineers need to know when welded repairs are and are not appropriate, and what should be included in welding procedure specifications in order to guarantee acceptable results.
Weldability is the capacity of a metal to be welded and to perform satisfactorily in the intended service. In general, weldability is best for highly ductile metals. Ductility of iron and steel is inversely related to proportions of certain non-iron elements, primarily carbon. The upper limit for carbon in Grade 36 steel is 0.29%; earlier structural steels, although typically low in carbon, had no specified limit. Steel with carbon content between 0.3% and 0.5% can be welded successfully with appropriate pre- and post-heating.
Bridges built in the nineteenth century are more likely to be wrought iron rather than steel. Wrought iron is a composite of iron and threads of slag, with a pronounced grain structure. Carbon content typically is less than 0.3%, but phosphorus can range as high as fifteen times the upper limit for Grade 36 steel. Usually, “wrought iron can be welded easily by any of the commonly used processes, such as… arc welding…1,” as was demonstrated recently2,3 with samples from several historic bridges. However, tests by Gordon and Knopf4 indicate that “…if the average phosphorus content exceeds about 0.3%, the metal is likely to have inadequate toughness…”
Grades, mechanical properties, and chemical composition of old metals cannot be determined by visual inspection, and contract documents that might include that information frequently are not available. Ductility of steel, but not of wrought iron, can be estimated by correlation with the results of indentation hardness tests, and there are ASTM standard chemical tests for carbon and phosphorus. Unfortunately, the latter test may be inaccurate for wrought iron because some of the phosphorus resides in the slag threads. Gordon and Knopf4 report detection of excessive phosphorus by metallographic examination.
Cast iron fittings are common in early bridges, and cast iron compression members are found in the most venerable bridges. Duplication of broken cast iron parts is expensive. Creating functional replacements from structural steel may not be feasible and would compromise the integrity of a historic bridge. The high carbon content and brittleness of cast iron make welding difficult, involving careful pre-heating, control of heat input during welding, and gradual cooling of the finished weldment.
IV.       Literature Search Summary
A list of sources is included below that provides references for this problem statement and will be useful to this project.
Of note, the AASHTO/AWS Bridge Welding Code5 does not cover repair of existing structures although the Structural Welding Code6 does. The former lists mechanical tests and inspection methods for welded fabrication of new bridges. The latter briefly discusses assessment of weldability of unknown steels and cites references on welding wrought and cast iron.
The TRIS+ITRD data base lists case studies of welded repairs and of properties of wrought iron (mostly from the UK). The TRB-RIP lists a project on analysis of fracture-critical bridges. The TRB publications index lists a report on repair guidelines7, a paper on tests of field welding repair techniques8, a literature survey on welded repair of cracks in steel members9, and a mathematical model relating weldments to fatigue strength10. These publications may also be useful in this research.
1. Welding Handbook, American Welding Society, third edition, 1950.
2. Evaluation and Repair of Wrought Iron and Steel Structures in Indiana, M. D. Bowman &amp; A. M. Piskorowski, FHWA/IN/JTRP-2004/4.
3. Arc Welding Fundamentals for Historic Bridges, L. Yost, unpublished presentation, Seventh Historic Bridges Conference, 2001.
4. “Evaluation of Wrought Iron for Continued Service in Historic Bridges,” R. Gordon and R. Knopf, ASCE Journal of Materials in Civil Engineering, July/August, 2005.
5. Bridge Welding Code, AASHTO and American Welding Society, 1996.
6. Structural Welding Code - Steel, American Welding Society, 2008.
7. Guidelines for Evaluation and Repair of Damaged Steel Bridge Members, NCHRP report 271, 1984.
8. “Test of Welding Technique for Repair of Steel Highway Bridges,” TRR v. 1, n. 950, 1984.
9. Welded Repair of Cracks in Steel Bridge Members, NCHRP report 321, 1989.
10. Effects of Weldments on Fatigue Strength of Steel Beams, NCHRP Research Results Digest, n. 18, 1970
V.        Research Objectives
The broad objectives of this research are to provide information that an engineer must have in order to determine if welded repair of an old bridge is prudent, and to guide preparation of appropriate welding procedure specifications. The focus is on wrought iron, structural steel produced before 1962, and cast iron. The research will investigate tests for evaluating weldability, welding procedures, and inspection methods.
The deliverable products will be one or more publications that document data and correlations; evaluate applicability of the tests, welding procedures, and inspection methods that were investigated; state the conditions under which welded repair is and is not advisable; and recommend welding procedure specifications. 
The first phase of the project will include:
    literature search and review,
    procurement of commitments to provide a wide variety of old metals, and
    design of the research plan.  
The second phase will commence on approval by the oversight committee and will include:
    Non-destructive tests for material properties that affect weldability (e.g., chemical analysis, indentation hardness, metallographic examination),
    Fabrication of representative weldments (e.g., butt and lap joints of new material to old, padding), using several welding processes (e.g., SMAW, FCAW, SAW) with varying filler metals, pre- interpass- and post-heating,
    Inspection using standard methods (e.g., visual, penetrant, ultrasonic, radiographic),
    AWS tests for weldability (e.g., tensile strength, bending tests for ductility, macroteching),
    Correlation of weldability to material property test results,
    Development of recommended guidelines for welding procedure specifications that are appropriate to properties of the materials, and
    Documentation and publication of results and recommendations. </t>
  </si>
  <si>
    <t>AFF10, General Structures</t>
  </si>
  <si>
    <t>Estimating the Economic Value of Historic Properties for Purposes of Mitigation under Section 106 of the National Historic Preservation Act</t>
  </si>
  <si>
    <t xml:space="preserve">http://rns.trb.org/dproject.asp?n=29245 </t>
  </si>
  <si>
    <t>Problem:
Mitigation for the adverse effects to historic properties under Section 106 of the National Historic Preservation Act often entails an “economic” exercise of trying to estimate the value of the historic property adversely affected, and taking an action commensurate with the loss. Unfortunately, the value of an historic property is difficult to estimate. An old photograph of family members long gone might fetch a few pennies at a yard sale, but its owner might not be willing to part with it for thousands of dollars.   In the case of a building, the real estate value of a historic building might be low, due to the location and condition of the building, but the historic value of the building might be great insofar as many people might see a strong connection between the building and their personal history. Similarly, with archaeological sites, the historic value of the site is calculated as the cost of recovering the important information that might be lost; however, this presumes that the conducted work will recover that information. Also, it presumes that the archaeological site has no other intrinsic value, such as the presence of ancestral burials. For historic bridges, the economic value of the bridge might actually be negative. The cost of rehabilitating the bridge might greatly exceed the cost of simply replacing the bridge and selling the old bridge for scrap. Yet many of us are emotionally attracted to an old metal truss bridge and would wish it to be preserved. And indeed at many locations, state transportation departments make a decision to rehabilitate a historic bridge knowing that on pure economics a replacement would be better. Section 4(f) recognizes the historic value of a bridge or other historic property and requires that preventing the loss of the property entail extraordinary costs.
As historic preservationists and cultural resource managers, we routinely have to deal with the loss of a historic property, i.e. an adverse effect. Each and every time, we have to devise or divine an appropriate mitigation that “makes up for” the loss of the historic property. For archeology, the easiest approach is to estimate the cost of conducting archaeological research. However, that cost is subject to variation since all archaeological research is a matter of sampling and methodology. A site could be mitigated at 0.5% with a backhoe or mitigated at 5% with shovels and spoons. The costs could vary by a magnitude or more, yet each could be defended as recovering the important information. For historic buildings and for bridges, we record them to HAER standards and we move them to a different location.   We buy easements and do historic research, and popular outreach. In each case we say that the effort mitigates the adverse effect, with the presumption that the effort was commensurate with the loss. But we have no way to confirm that.
Objective:
To establish a consistent methodology for assessing the economic value of historic properties, including archaeological sites, taking into account historic values. 
It would be expected that this research would be conducted in two phases. The first phase would be a survey of the costs of common mitigation actions across different states to establish a record of common practice regarding valuation. The second phase would be to survey different methodologies for valuing historic properties such as contingent valuation methodology, willingness to pay models, cost of production (similar to what occurs on archaeological sites), etc. Different methodologies would be compared against each other to provide a replicable and understandable and consistent approach to valuing historic properties. Finally, results modeled from a methodology would be compared against actual surveyed costs to begin to answer the question of whether agencies are overpaying or underpaying for their mitigations.</t>
  </si>
  <si>
    <t>ADC50, Historic and Archeological Preservation in Transportation</t>
  </si>
  <si>
    <t>Case Studies of Carrier Safety Advancement</t>
  </si>
  <si>
    <t xml:space="preserve">http://rns.trb.org/dproject.asp?n=29150 </t>
  </si>
  <si>
    <t xml:space="preserve">An under-used methodology in motor carrier research is the intensive carrier case study. Case studies might be used to tell a comprehensive and holistic story of how particular motor carriers have adopted new safety or other management practices and the outcomes of these interventions. A case study is not a controlled experiment and it cannot isolate specific cause-effect relationships. The advantage of the case study methodology, however, is that it can tell a complete story and present it in a realistic context. As such, case studies are more likely to be meaningful and compelling to the key target audiences for motor carrier safety improvements: fleet safety and operational managers.
An excellent example is a published paper by Will Murray et al. (2009). Murray’s group conducted and published a four-year occupational road safety case study of Wolseley, the world’s largest heating and plumbing distributor, based in the United Kingdom and operating in 28 countries. The comprehensive case study classified dozens of Wolseley safety interventions within an expanded Haddon Matrix and chronicled their implementation and safety outcomes over a four-year period. A detailed chronology listed dozens of company safety interventions applied to review, benchmark, manage, and evaluate the company’s occupational and road safety. Wolseley reduced its crash rate by more than 40% over the period. It also reduced employee injuries, traffic and regulatory violations, and financial losses. While this holistic research approach did not isolate the effects of single interventions, it did “tell a story” which other companies could emulate.
Wolseley is a giant, international private fleet. Similar North American case studies could address a variety of carrier types, including trucks and buses, private and for-hire fleets, long-haul and short-haul, truckload, less-than-truckload (LTL), and pick-up and delivery fleets. Since case studies would emphasize company success and progress, some companies may welcome the positive publicity and allow their company names and operational details to be shared. Others may be willing to participate but with restrictions on information disclosure, including the use of their names and other specific identifiers.
Case studies could be presented within conceptual or theoretical frameworks. Murray’s Wolseley paper presented the WIPE Fleet Safety Model, where WIPE stands for:
    Why focus on fleet safety; i.e., potential business and other benefits of improved safety.
    Initial and continuing status review; i.e., surveys, focus groups, leading and lagging indicators
·         Pilot and implement countermeasures
·         Evaluate outcomes; i.e., crash and other accident data.
Another model for comprehensive carrier interventions is the expanded Haddon Matrix. The Haddon Matrix (Haddon, 1980) is a framework for understanding and designing crash reduction strategies. It provides a conceptual structure for identifying factors that influence crash occurrence by dividing the crash scenario in terms of timeframe (i.e., pre-crash, crash, and post-crash) and in terms of the primary “actors” affecting the event (i.e., human, vehicle, roadway/environment). Murray et al. reconceptualized and further expanded the “actors” to include six:
·         Management culture
·         Journey
·         Road and site environment
·         People
·         Vehicle
·         Society or community.
Knipling (2011) expanded the “actors” to include nine categories: government/industry, society, motor carriers, driver enduring traits, driver temporary states, vehicle design and equipment, vehicle condition, roadway design/traffic, road/environment condition. The time periods were expanded to include five categories: pre-trip/pre-threat, pre-crash, crash, post-crash response, and post-crash remediation. Another natural framework is the new Compliance, Safety, Accountability (CSA) BASIC safety measurement system consisting of seven metrics (unsafe driving, fatigued driving, driver fitness, alcohol/drugs, vehicle maintenance, cargo securement, and crash history). Still another framework is that of Safety Management Systems (Ahmed, 2010; Thiffault, 2011), which emphasize measurement of key safety processes and indicators. Presentation within such frameworks might help readers to better organize their own carrier interventions emulating those in the case studies.
Objective
Conduct in-depth case studies of motor carriers which have progressively improved their safety programs. These case studies would include documentation of carrier safety statistics and other indicators, both leading and lagging. They would include chronologies of carrier safety interventions along with discussions of the rationales for them and challenges faced in implementing them. A fully-successful effort would encompass all types of safety interventions (e.g., management-related, driver-related, vehicle-related and operations-related) and would report both successes and failures. Ideally, a variety of carriers would be represented, including carriers of varying size and operations type. The purpose of these case studies would be to motivate other similar carriers to undertake similar safety advancement programs and to provide blueprints for them. Participating carriers would benefit from the corporate pride and positive publicity associated with their safety success. </t>
  </si>
  <si>
    <t>Emerging Transit Markets: The Effect of Changing Demographics and Lifestyle Choices in Service Planning</t>
  </si>
  <si>
    <t xml:space="preserve">http://rns.trb.org/dproject.asp?n=28616 </t>
  </si>
  <si>
    <t xml:space="preserve">RESEARCH PROBLEM STATEMENT
As global positioning systems (GPS) and Internet connections are getting cheaper for cell phone users, innovative mobile applications have seriously impacted the social networking habits of technology savvy users as well as their behavioral  characteristics.  Various surveys have revealed the following:
    Internet traffic is growing by 40% per year.
    More than one-half of American teens say they are “content creators” via the Web.
    More than one in four Americans who download apps admit to using those apps while driving. 
Apart from a concern with safe driving, this growing desire for using audio/visual devices on cell phones may encourage a perception of an added-utility value by drivers, especially among technology savvy drivers where smart phone use is widespread.  The ability to use telecommunication devices while seated on a bus or train may help an individual consider riding transit as a better use of their time and/or money than driving. 
At the same time there appears to be an emerging trend of a preference to locate in the high density parts of urban redevelopment areas.  These are associated with preferences for walking, social interaction and the use of public transit that will facilitate the use of new technologies when technology-savvy users travel on transit.  A close examination of these motivations and other relevant transit trip-making decision factors including travel time, cost, and frequency of service is essential to meet the needs of these transit riders who are technology-savvy and value the flexibility of riding the bus while they text or surf the web on their smartphone or laptop. Little work exists that can be used to help transit agencies understand these factors and capitalize on these emerging markets. The research findings can help transit service planners to respond proactively and effectively to changing demographics and lifestyle choices by technology-savvy users or recent university graduates.
OBJECTIVE
The purpose of this project is to develop a handbook for transit planners’ use in the creation and retention of the technology-savvy emerging market, based on a mix of theory, case studies and customer survey results.  The focus is on two new markets:  1) the technology-savvy users with transit commuting experience, most likely in the college setting; and 2) the retention of university transit users as they transition from students to full-time work. Users of the proposed handbook will gain an understanding of how to conduct market research to incorporate transit service evaluation both as it applies to technology-savvy riders, as well as implementation strategies specifically targeted at achieving ridership growth in these two emerging markets.  
 RESEARCH PROPOSED
This project would conduct research on two types of markets.  One focuses on existing technology-savvy transit riders most likely found in the college setting, and the other on a retention survey of recent graduates who rode transit while in college. Universities that have demonstrated successful transit use will be invited to participate.  In the first type of research surveying current college riders, a comparison of a cross-section of students will be made of the travel characteristics and use of telecommunications.  In addition, comparable transit levels of service will be analyzed to establish a baseline of the service performance required.  This portion of the research would lead to the development of tools that transit agencies can use to inventory the important data resources in order to expand transit markets by incorporating the travel needs of existing students and young adults.
In the second type of research, a survey will assess the retention of the university student market after graduation in an attempt to examine what major factors influence graduates to continue to use transit versus those who switch to driving after graduation.  It will also examine which factors affect travel mode choice when transit riders have lifestyle changes.  Some factors to explore include: flexibility of using telecommunication devices while riding transit, proximity to employer destination or housing, compact land use patterns, and increased transit accessibility.  It is suggested the results may allow one to better understand how the changed environment and other factors like higher income may affect a young professional’s mobility decisions and provide greater insight into how transit can improve in order to remain a viable alternative to driving.
The outcome of this research could provide three main deliverables.  First, the research would provide a guide to best practices in the expanding transit markets by integrating the effects of having access to telecommunications while riding in the transit service planning process.  Second, a checklist of other service quality indicators would be developed that have shown have an effect in retaining university transit riders after graduation.  Third, a list of references would be produced by mapping various cutting edge techniques including customized trip planner via campus internet, Facebook, and ridership monitoring mechanisms that meet the needs and preferences of these two emerging markets.  </t>
  </si>
  <si>
    <t>An Examination of Roadway Feature Identification Lighting versus Designed Lighting Systems</t>
  </si>
  <si>
    <t>http://rns.trb.org/dproject.asp?n=27117</t>
  </si>
  <si>
    <t>III.  RESEARCH PROBLEM STATEMENT
The proposed research project will consider the benefits and trade offs associated with roadway feature identification lighting versus designed lighting systems. (Note: roadway feature identification lighting generally refers to a single luminaire placed to identify a roadway element. Designed lighting systems refer to lighting systems designed to meet specific visibility requirements on the roadway.) The results of the research will provide guidance to the following design and operational decisions:
1. Does the simple placement of a single luminaire to identify a geometric feature (curve, intersection, etc.) provide any safety benefits? 
2. Does a designed or engineered lighting arrangement offer significant benefits over a roadway feature identification lighting placement?
3. Under what conditions should an engineered lighting system be put into service?
It is proposed that the work for this study would be carried out at intersections as considerable amounts of existing research on crash reductions at intersections. The work should result in recommendations that can be applied to other geometric features such as curves. The benefits of the research include support for the Illuminating Engineering Society of North America (IESNA) to create standards that will lead to better designed intersections as well as improve decision making about when to install lighting. Such information will help address the issue of how best to light an intersection which is currently in need of better quantification by the Illuminating Engineering Society of North America (IESNA). For example, near side lighting is recommended for pedestrians, but does not necessarily accommodate the visibility needs of drivers negotiating the intersection that would best be met by far side lighting. From this standpoint, there could be immediate payoff for intersection lighting design from this research. However, many of the principles that are examined and developed for intersections should have implications for other roadway features. The research should take the intersection focus and, to the extent possible, extend the findings to other features.
IV.  LITERATURE SEARCH SUMMARY
1.  Roadway Lighting Shows Safety Benefits at Rural Intersections, Hillary N. Isebrands, P.E. S.M. ASCE1 and Shauna L. Hallmark M.ASCE2
Intersection-related crashes account for approximately 31% of fatal crashes in Minnesota and roughly 37% of those occurred at night, dusk, or dawn. Nationally, only 25 to 33% of the vehicle miles traveled (VMT) occur at night, but nighttime crashes account for half of fatal crashes. Furthermore, Minnesota experienced 70% of its fatal crashes in rural areas, as compared to 58% nationally. As a result, rural intersections at night are at higher risk for fatal crashes than other locations in Minnesota. This research evaluated the effectiveness of roadway lighting in reducing nighttime crashes at isolated rural intersections. A before-and-after study was used to evaluate the impact of lighting at 33 intersections with 3 years of before data and 3 years of after data. A 28% reduction in night crash frequency occurred after lighting was installed. A Poisson regression model evaluated the change in night crash rate after installation of lighting. Results indicated that the night crash rate was lower after lighting was installed and was statistically significant. The expected night crash rate before lighting was installed was 59% higher than after lighting was installed.
The site visits showed that at least 75% of the rural intersection street lighting was mounted on existing utility poles. Most of these lights would be considered destination lighting as they are not designed to specifically illuminate the intersection. This alternative does not require special installation of a light pole and provides a more cost-effective approach for the local agencies, but does not necessarily provide adequate lighting of the intersection.
2. Carstens and Berns (1984), an evaluation of destination lighting was conducted in Iowa. Destination lighting is intended only to guide a driver to the intersection and may not provide sufficient lighting to increase visibility. This study found no significant differences in crashes between lighted and unlighted intersections on secondary roads. This research only considered destination lighting on low-volume roads where the volume ranges were not defined. It was unclear whether other studies included intersections with these characteristics.
3. Effectiveness of Intersection Lighting, Cari Kinzenbaw (2007), Nighttime driving has proven to be particularly challenging. For example, the USDOT reports that 45% of all fatalities occur during dark conditions even though the miles driven during dark hours are considerable less than miles driven during light hours. Also, another study shows that the nighttime fatality rate is three times the daytime fatality rate. Crashes during dark conditions are more common than crashes during light conditions. In an effort to limit the dark conditions at intersections, roadway lighting may be installed. This strategy can be effective as long as the lighting levels and configuration allow the light to be useful. The purpose of this study was to determine the amount of light provided by particular types of lights and the different contours of light provided at certain distances away from the light at the intersection. By doing so, the actual placement of the lights may be adjusted in order to prevent specific types of crashes at certain intersections where they have proven to be significantly greater than other types of crashes.
4. Standard and Nonstandard Roadway Lighting Compared with Darkness at Rural Intersections, Bruneau, Jean-Francois, Morin, Denis (2005), TRR 1918, This report evaluates the safety aspects of roadway lighting at rural and near-urban three-way and four-way junctions by comparing unlit intersections with those lit with two different types of lighting: (a) standard intersection lighting provided by the Ministère des Transports du Québec, Canada, and (b) nonstandard lighting provided by the local municipalities. A night-day accident rate ratio was used to estimate the accident rate reduction for three categories of severity: fatal and personal injury accidents, property damage only accidents, and all accidents. Sites were selected with two sampling modes. The objective mode selected sites according to the accident thresholds, and the arbitrary mode systematically selected all sites with standard lighting. The night-day accident rate ratio was measured for 376 sites by dividing the annual average number of accidents (6,546) with an annual average traffic flow (760 billion vehicles), calculated for both night and day. The accident rate reduction, expressed as a percentage, was tested for validity with the Student's t-test at the 5% p-level. The results were split into 49 categories with 20 variables to ensure that no significant variation existed in the accident rate reduction related to a specific roadway condition or environment. Rural lighting of an intersection significantly reduced the night accident rate by 29% for nonstandard lighting and by 39% for standard lighting, in comparison with darkness. When the two sampling modes were compared, standard lighting reduced the night accident rate of nonstandard lighting by 29%, significant at the 5% p-level, when only objective data in the sampling were used.
V.  RESEARCH OBJECTIVE
The final product would be guidance on where and under what conditions simple roadway feature identification lighting is acceptable and recommendations for new or improved standards and design guidance for use by the Illuminating Engineering Society of North America. Specific tasks that will contribute to this final product include:
Task I: Data Collection and Analysis
1. Field data collection at sites using road feature identification lighting (RFIL) and at sites with designed lighting (DL) systems in order to quantify the lighting characteristics at those sites. Preferably the sites will have similar geometric and other characteristics for comparison purposes.
2. Crash data review for all sites being assessed.
3. Analyze all data above to determine if there are any differences in crash experience (number, severity, rate, etc.) between sites with RFIL versus DL.
Task II: Development of Guidance and Recommendations
1. Based on the analysis above, describe the benefits/disbenefits of both the RFIL and DL under different conditions.
2. Identify situations in which RFIL is acceptable or unacceptable from a safety perspective.
3. Identify “critical” roadway features that would either dictate a DL system or those that would allow RFIL.
4. Provide guidance that can be used by practitioners when considering the use of RFIL – where and under what conditions it is acceptable.
5. Provide recommendations on how roadway lighting standards could be changed to address the issue of RFIL application versus DL.</t>
  </si>
  <si>
    <t>Speed Prediction Models for Rural Multilane Highways and Urban and Suburban Arterials</t>
  </si>
  <si>
    <t xml:space="preserve">http://rns.trb.org/dproject.asp?n=27109 </t>
  </si>
  <si>
    <t xml:space="preserve">III. RESEARCH PROBLEM STATEMENT
The Interactive Highway Safety Design Model (IHSDM) is a decision support tool that consists of the following modules: intersection review, traffic analysis, driver/vehicle, policy review, design consistency, and crash prediction. Through 2008, IHSDM was only able to assess planned or existing two-lane rural highways. However, in 2009, the crash prediction capabilities of the IHSDM were expanded to include rural multilane highways and urban and suburban arterials, as a faithful implementation of Part C of the first edition of the Highway Safety Manual. Methods to assess the design consistency for multi-lane rural highways and urban and suburban arterials are not available. Development of design consistency procedures for these facility types will provide a full suite of mobility and safety assessment tools for use designers throughout the project development process.   
The objective of this research is to conduct basic research on speed prediction for rural multi-lane highways and urban and suburban arterials. For the purposes of this research, the project should focus on passenger car operating speeds, trucks, and recreational vehicles, and be developed in a manner that complements the existing two-lane rural highway design consistency module currently available in the IHSDM. The association between vehicle operating speeds and geometric design features on these facilities could assist in several design functions, particularly when used in concert with the latest enhancements to the IHSDM crash prediction module. Examples of this include: assessing the need for climbing lanes, justification of maximum grades, evaluating proposed capacity-expansion projects, and assessing speed-safety relationships on horizontal curves. The findings from this research could also be used as a framework to perform level of service analysis on uninterrupted flow facilities. In the Highway Capacity Manual (2000), estimating free-flow speeds are an important step in freeway and multi-lane highway operational performance.  
V.RESEARCH OBJECTIVE
The IHSDM crash prediction module includes the Highway Safety Manual (Part C) methods to evaluate safety performance on rural multilane highways, and urban and suburban arterials. The proposed research will supplement these capabilities by developing tools to assess design consistency on these same facility types. The following is a list of tasks required to complete the proposed research:
1. Review and assess the overall methodology (including speed prediction, acceleration/deceleration, and design consistency criteria) that is currently used in IHSDM to assess design consistency for rural two-lane highways.
2. Review, and critically synthesize, the literature related to speed- geometry relationships. This review should be focused on multilane highways and urban streets. 
3.  Review literature related to speed modeling techniques and important speed-related performance measures. The review should focus on advancements in speed modeling methods made since original development the IHSDM design consistency module as well as other untried methods that have potential to improve speed prediction capabilities.
4. Develop a site selection and data collection plan. The plan should include locations where speed data will be collected, a list of variables that are expected to be associated with vehicle operating speeds on multilane highways and urban and suburban arterials, and an estimate of the required sample size for the proposed modeling efforts.   
5. Develop a framework to evaluate design consistency on rural multilane highways and urban and suburban arterials using the speed prediction models developed by this research. 
6. Prepare and submit an interim report describing the findings from Tasks 1 through 4. Meet with the project panel to discuss Phase I findings and recommendations. Revise the data collection plan and design consistency framework based on comments received during the project panel meeting. 
7.  Execute the data collection phase of the research as outlined in the revised plan. 
8.  Estimate models to determine the relationships between roadway features and operating speeds. The models should be validated and tested for geographic transferability.
9. Prepare and submit a final report describing the entire research effort. This report should include the findings from all project tasks and recommendations for implementing the speed findings into the proposed design consistency framework. </t>
  </si>
  <si>
    <t>ANB30, Operator Education and Regulation</t>
  </si>
  <si>
    <t>Developing a Basis of Evidence for Medical Advisory Board Driver Review</t>
  </si>
  <si>
    <t xml:space="preserve">http://rns.trb.org/dproject.asp?n=27023 </t>
  </si>
  <si>
    <t>Background
Licenses to operate motor vehicles are regulated by each of the fifty sates and the District of Columbia for all drivers, with an additional regulation for commercial driver licensing imposed across the states by the federal government.  Regulation usually consists of testing for qualifications to licensure, including minimum driver education, minimum physical requirements, and imposition of sanctions for criminal traffic behavior.  Well-established systems exist to certify providers and record the provision of required education, and existing criminal justice systems adequately enforce and report sanctions for unacceptable driving behavior.  However, in the area of a driver’s physical/mental fitness to drive, there is a patchwork of evaluation and reporting approaches, most of them represented by a single name; Medical Advisory Board.
While states may establish minimum physical requirements for licensure by statute or regulation, most recognize that judgment is required to evaluate compliance beyond minimum age and minimum visual acuity.  Some jurisdictions regulate on the presence or absence of discrete conditions while others have adopted an advanced view that considers driver compensatory behaviors and capacity to drive safely.  Practical considerations regarding potential disenfranchisement of a large and growing segment of society as well as the influence of the American with Disabilities Act are driving the acceptance and expansion of the more advanced view.
Most agree that assessment of the “whole driver” by competent medical doctors is likely to yield more appropriate outcomes than simple license restriction due to the presence of a disqualifying condition, but no evidence exists to support this belief and no evidence exists to support the idea that medical doctors are the best judges of a driver’s capacity to safely operate a motor vehicle.  The current support for Medical Advisory Board driver evaluation practice is based solely on consensus.
Statement of the Problem
Evidence must be developed regarding the efficacy of medical review of drivers by physicians practicing Public Health.  Federal and State governments need to know if review and consideration of physical and mental signs and symptoms by competent medical practitioners, and the resultant recommendations from that review, can yield effective and appropriate advice to licensing authorities and if the outcomes of implementation of that advice are desirable.
An investigation of available data sources can be expected to permit a measure of driver medical review efficacy.
Objectives
Five distinct goals will be served by this research:
    Develop a comprehensive view of the population entering the medical evaluation system, characterized by age, race sex, apparent infirmity, source of referral, and precipitating events. 
    Further characterize that population by medical status as discovered during the evaluation process, mitigation as observed by the evaluators, and recommendations made to and actions taken by the licensing authority.
    Compare the prevalence of those conditions among the driving population to that known among the general population.
    Capture and evaluate the outcomes associated with medical review of the population of referred drivers and compare it to the general crash rate, the referral rate, the citation rates, and license preservation rates.
    Develop evidence-based support for current approaches to driver medical review as practiced by existing Medical Advisory Boards.</t>
  </si>
  <si>
    <t>Impact of Non-CO2 Emissions from Jet Aircraft</t>
  </si>
  <si>
    <t xml:space="preserve">http://rns.trb.org/dproject.asp?n=25868 </t>
  </si>
  <si>
    <t xml:space="preserve">Problem
Aircraft condensation trails (contrails), cirrus clouds and other non-CO2 emissions such as NOx, impact the climate at altitudes but are poorly understood and quantified. There is a need to better quantify impacts of non-CO2 aircraft emissions with reduced uncertainties and develop metrics to interrelate these impacts among themselves and those of CO2 alone. This will help develop better understanding of impacts due to tradeoffs amongst emissions resulting from different policy or technology solutions.
Objective
The research will better link aviation emissions and climate impacts with specific attention to the following focused study areas:
·      Isolation and improvement of the magnitudes of individual components of aviation emission induced climate impacts on global and regional scales
·      Development and evaluation of aviation climate impacts metrics (including change in surface temperature) to better compare non-CO2 aviation climate impacts with each other and with CO2 on various time horizons. </t>
  </si>
  <si>
    <t>Understanding and Reducing the Contribution of Landside Traffic to Greenhouse Gas (GHG) Emissions at Airports</t>
  </si>
  <si>
    <t>http://rns.trb.org/dproject.asp?n=25867</t>
  </si>
  <si>
    <t>Problem
Landside vehicles—including private automobiles, taxis, limos, shuttles, delivery trucks and other vehicles that travel to and from the airport—often contribute a significant proportion of an airport’s greenhouse gas (GHG) emission inventory. For example in the case of Dallas Fort Worth International Airport (DFW), landside vehicle GHG are estimated at 13% of the total. A fundamental element of good airport design is the enabling of efficient movement to and from the airport--minimizing congestion, travel time, maximizing convenience and by extension minimizing energy use, pollution and GHG emissions. Among the strategies that have been developed to do this are: 1) roadway design to minimize congestion and facilitate efficient vehicle movement; 2) on airport parking facilities and policies – including automation and priority parking for clean vehicles; 3) public transit links to and from airports where it makes sense; and, 4) consolidated rental car facilities that reduce airport access road congestion. The further development of this area and improved understanding of the dimensions and dynamics of landside traffic, the volume of GHG generated, and the integration of a range of strategies to reduce them will help to further reduce GHG at airports.
Objective
Research should examine land-side activity from the perspective of GHG emissions reductions and focus on improving knowledge and developing and integrating strategies to maximize energy efficiency and reduce GHG emission resulting from trips to and from the airport. Improvements in the understanding of the dynamics of landside traffic, geography, population density and incentives can enable planning organizations and airport operators to improve landside planning, parking policies, transit links and other actions to reduce GHG emissions related to aviation activities.</t>
  </si>
  <si>
    <t>Public Private Partnerships (PPPs) in Transit Projects</t>
  </si>
  <si>
    <t>http://rns.trb.org/dproject.asp?n=24846</t>
  </si>
  <si>
    <t>TCRP RESEARCH PROBLEM STATEMENT
As all levels of government face financial hardship due to the recent economic downturn, the Highway sector in the US has been more aggressively exploring the possibilities of public private partnerships (PPPs) particularly in the areas of financing and operation of roadway facilities.  While PPPs in the US transit sector within the last three decades have been limited mostly to outsourcing the functions of service operation and maintenance of vehicles, and facilities, there is an increasing interest in expanding the roles of private entities in the provision of public transit infrastructure and services.  These new roles require contractors to share certain risks in planning, construction, finance, and management in exchange for financial returns.  In return, public entities could gain lower costs, lower financial risk, service quality improvement, efficient deployment of new technologies, innovative business practices, and increased management expertise beyond what is expected in a traditional contracting-out approach.
Despite the importance of its potential, a limited amount of research has been conducted on the subject of PPPs beyond examining traditional contracting-out approaches.  A systematic, comprehensive assessment of the efficacy of the transit PPP projects implemented up to date could help to identify future opportunities for PPPs to further the public interest within the realm of public transit. 
OBJECTIVE
The objective of this research is to examine whether or not the involvement of private entities in a variety of aspects—planning, design, build, finance, operation, management, and maintenance—in transit service provisions and projects up to date has produced overall values for public transit providers, transit users, private firms, and society-at-large.
RESEARCH PROPOSED
The project would examine case studies of transit projects, both PPPs and traditional public sectors ones, both in the US and abroad, carefully classifying cases by type of PPP and the degree of private sector participation in transit projects.  The project would analyze efficiency, effectiveness, costs and benefits produced in the selected transit PPP projects, in comparison to similar projects implemented only with the public sector involvement.  
Both qualitative and quantitative methods are to be employed to address different aspects of analysis.  A qualitative analysis includes an examination of the challenges met and/or created through the involvement of the private sector (such as risk transfer), the institutional issues associated with private sector involvement (such as legislative issues), and lessons learned from the experience.  A quantitative analysis includes an examination of the financial aspects of private sector involvement (innovative financing structures applied, if any), the overall monetary value added by the private sector’s contribution under reasonable assumptions (and if so, how much), and a preliminary analysis of public sector comparators.
With these analyses in hand, the project report will draw relevant conclusions regarding opportunities for and potential values from utilization of PPPs in the development and operation of public transportation, and sort out important factors and conditions to determine types of PPP that are more likely to be successful in each case of future implementation in the US environment.</t>
  </si>
  <si>
    <t>Understanding Users Diverse Vision Needs for Safe, Usable Transit Systems</t>
  </si>
  <si>
    <t>http://rns.trb.org/dproject.asp?n=24817</t>
  </si>
  <si>
    <t>RESEARCH PROBLEM STATEMENT
What are the vision needs of transit users who are neither fully sighted nor legally blind? The “low vision” population greatly exceeds the legally blind population, yet the needs of this population have not been adequately researched and documented so as to inform transit systems planning. In the context of current demographic shift, we need to better accommodate the needs of low vision Americans presents the threat of over-burdening our more expensive accessible transportation system.
If transportation and enforcement professionals assume that pedestrians are either blind or have unrestricted vision, they may establish false expectations of pedestrians’ ability and responsibility. Indeed, transit riders who are not legally blind, but are navigating with imperfect vision may constitute our most vulnerable population. Numerous impairments affect this population and their ability to use existing transit systems. These vision problems include:
• Cataracts • Glaucoma • Uveitis
• Macular degeneration • Corneal opacity • Trachoma
• Diabetic retinopathy • Myopia magna • Stargardt's disease
• Albinism • Retinitis pigmentosa
OBJECTIVE
The objective of this research is to develop tools for planners and engineers to accommodate the mobility and safety needs of low vision transit users.
The project will do so by categorizing how vision is used. It catalogs the incidence of the variety of vision impairments and in the U.S. population by age. Then, it identifies how these impairments affect the identified vision needs of transit users. Knowing that low vision people typically have little if any training, this population is harder to serve through targeted services and are better served through Universal Design approaches. The research enables informed Universal Design for vision needs in transit environments. Practitioners with this will be able to better anticipate and accommodate pedestrians who possess low vision in one or more of these categories.
By more accurately portraying the visual restrictions of pedestrians, safety planners, driver educators, and our enforcement and engineering professionals will be able to better serve the greatest number of people.
RESEARCH PROPOSED
This research project involves the following five tasks:
(1) Determine the specific ways in which seeing transit users rely on their vision through task analysis,
(2) Catalog the type and prevalence (present &amp; projected) of low vision as found in the American population, in consultation with researchers and medical professionals,
(3) Consult disability advocates and leaders to explain how these limitations affect one’s interactions with others in a transportation environment,
(4) Explore the implications of these findings for the broad TRB community, and
(5) Develop a tool for integrating these concerns into the workflow of various aspects of transit planning and engineering.</t>
  </si>
  <si>
    <t>Economic Benefits of Winter Highway Maintenance</t>
  </si>
  <si>
    <t xml:space="preserve">http://rns.trb.org/dproject.asp?n=22201 </t>
  </si>
  <si>
    <t xml:space="preserve">I. RESEARCH PROBLEM STATEMENT
In the United States, Canada, and other parts of the world, snow and ice control operations are crucial to help ensure the safety of traveling motorists on winter highways. Investing in clear roads is essential and beneficial to the public as well as the economy, since the U.S. and Canadian economies cannot afford the risk of shutting down the winter highways. Society has grown accustomed to year-round travel on “bare pavement” conditions, and the economy relies on it. The cost of road closure is far greater than the cost of winter highway maintenance activities.
Snow and ice control operations allow maintenance agencies to keep the highway system safe, mobile, reliable, and productive. Nonetheless, the cost of such activities is such a major outlay that it demands close scrutiny. To minimize the adverse effects of winter storms on road users, state and local agencies spend significant amount of resources annually in performing a variety of maintenance actions. In addition, we have known for a half century about the negative impact of snow and ice control materials (especially chemical deicers) on motor vehicles, transportation infrastructure, and the environment. While improvements in all these areas have been implemented, the benefits of these improvements have not been quantified effectively. There is a need to better understand and quantitatively assess the benefits of various components or technologies of winter road maintenance relative to costs, both at the national level and at the state level.
Furthermore, benefit/cost analysis to evaluate operational effectiveness is critically important given the need to objectively formulate and prioritize maintenance budgets and the tendency to privatize maintenance operations. While there are predictive models available, there is a lack of models that consider the multiple interacting variables in winter road maintenance. In fact, the costs and benefits of winter road maintenance is a function of relevant factors such as the target level of service (LOS), the winter traffic volume being managed, and the severity of winter weather experienced by the state or local agency. Typically the challenge is to find sufficient, reliable, and up-to-date data to support the modeling effort, whereas such models are much needed for agencies to deal with tradeoffs in the decision-making process and to achieve the best possible practices under the given fiscal and other constraints.
II. RESEARCH OBJECTIVE
The overall objective of this research is to define multivariate, quantitative relationships using available data, that can be used to predict the economic benefits of winter highway maintenance to various stakeholders.
The work will include a comprehensive liteature review and agency surveys to document the state of the knowledge regarding the multiple dimensions of winter highway maintenance activities and tangible and intangible costs and benefits (to the agency, road users, and the society). This process will also identify the type, availability, quality and resolution of data for case studies at the state or local agency levels, such as LOS data, traffic volume data, winter weather data, staffing/equipment/materials costs, and road safety records for the agency of interest . Subsequently, the research will focus on ways to quantitatively model the relationship between winter maintenance costs/ benefits and the key factors such as the LOS, winter traffic volume, winter weather severity, level of anti-icing, and their interactions. For instance, as the LOS increases, it is expected to indicate better pavement conditions and thus produce safety and mobility benefits. Yet such increase in the LOS may be derived from more agency investment (costs) in snow and ice control materials, equipment or staffing/training. As the winter traffic volume (e.g., vehicle-miles traveled) increases, the winter maintenance costs and benefits are both expected to increase. As the winter weather severity increases or the level of anti-icing decreases, the winter maintenance costs are bound to increase if other factors remain the same.
One way to calculate the benefits is to examine cost savings to the maintenance agency as a result of better practices or reduced LOS. There can also be user benefits derived from improved LOS (and thus enhanced safety and mobility); or infrastructure and environmental benefits derived from reduced usage of deicers, anti-icers, or abrasives. An important technical challenge is to find a meaningful way to “normalize” various agencies so that they can be integrated into the same model. The research will explore the complex interactions between the various infuential factors and conduct what-if analyses for the selected case studies (at least three states). Finally, this research will provide guidelines and models for conducting cost/benefit study of winter maintenance operations and for optimizing winter maintenance strategies under given constraints. </t>
  </si>
  <si>
    <t>Highway Applications of Translucent Concrete</t>
  </si>
  <si>
    <t xml:space="preserve">http://rns.trb.org/dproject.asp?n=21817 </t>
  </si>
  <si>
    <t>II. RESEARCH PROBLEM STATEMENT
Lighting for highways typically involves lamps on poles.  The location of these fixtures involves tradeoffs among safety, visibility, light pollution and maintenance.   A number of these problems could be avoided or minimized if the lighting could be embedded in the pavement itself.  Translucent concrete provides such an approach.
Translucent concrete is made by embedding optical fibers or lightguides in conventional concrete, with the fibers oriented in specific directions so that light is transmitted from one side of the concrete structure to another.  The tips of the fibers can be modified so that the light is visible only in certain directions.  Since light can be efficiently transmitted over long distances by optical fibers, it is possible to illuminate significant lengths of roadway evenly using a single intense light source.
In addition to solving problems associated with conventional light fixtures, this technology could also make possible novel methods of traffic guidance and signage. By switching on or off certain groups of fibers it is possible to signal lane changes or closures.  Also, the color of the transmitted light can be varied for traffic guidance.  Moreover, by pulsing various groups of fibers sequentially, it is possible to generate traveling waves of light in the pavement for traffic management.
Finally, translucent concrete is very compatible with new light sources such as super LED’s (Light Emitting Diodes). These are recommended for improved highway safety and energy efficiency in the recent report “Riding on Light: Optic Technology for Transportation Challenges” prepared by the Optical Society of America. 
Thus there is a need to identify and develop specific highway applications for translucent concrete technology.                   
III.  RESEARCH OBJECTIVE
Applications to be considered include, but are not limited to:  replacement or supplementing, of conventional light fixtures for general illumination; lane markings; lane openings or closings; traffic guidance and driver alerts.
Key technical factors to be considered include: spatial arrangement of translucent concrete in roadways; optical fiber emplacement methods; tip modifications; fiber switching techniques; light sources and light modulation methods.  Other aspects include effect on concrete strength and durability; pavement slipperiness; fiber durability and life cycle costs.
A feasibility study will be undertaken identifying one or more promising applications of translucent concrete for highways.  This will include preliminary system designs with estimated life-cycle costs as well as a preliminary market study. The report will also identify significant technical issues that must be addressed in Phase II in order produce a working prototype system
The deliverables of this feasibility study will include the following: 1) delivery of a working prototype system for testing and evaluation at a department of transportation (DOT) facility; 2) final technical report documenting research and development activities and recommendations for further research; and 3) detailed commercialization plan.</t>
  </si>
  <si>
    <t>Improving Pedestrian and Bicyclist Accessibility and Safety at At-Grade Railroad Crossings</t>
  </si>
  <si>
    <t xml:space="preserve">http://rns.trb.org/dproject.asp?n=20408 </t>
  </si>
  <si>
    <t>RESEARCH PROBLEM STATEMENT
Pedestrian and bicyclist safety is a significant concern for communities in the United States. Walking and bicycling account for approximately 13 percent of all traffic-related fatalities in the country; approximately 61,000 pedestrian and 44,000 bicyclist injuries were reported to police in 2006. While many studies have examined pedestrian and bicycle safety problems and solutions at roadway crossings, there has been limited research conducted to evaluate pedestrian and bicyclist accessibility and safety at at-grade railroad crossings. According to the Federal Railroad Administration Office of Safety Analysis, there were 325 reported pedestrian accidents at railroad crossings between 2005 and 2007, and more than half (53%) were fatal. This statistic does not include accidents at light rail transit (LRT) crossings.
At-grade railroad crossings are prevalent in many urban areas that are served by LRT, commuter, and freight trains. These crossings are also accessed by pedestrians and bicyclists primarily in urban areas. It is very important that pedestrians and bicyclists safely maneuver these crossings. Handicapped pedestrians and wheelchair users have very special needs at railroad crossings as well. In addition to the immediate impacts of injuries and the loss of human life, these crashes result in hardship for families and friends, loss of individual mobility, and a decrease in economic productivity.  The resulting delays to trains and vehicular traffic also cause significant economic losses to society. Pedestrians and bicyclists often rate safety as the number one factor in their decision to walk or bike to their destination. Unsafe railroad crossings may deter people from walking or biking to their destinations. 
A few critical problems at railroad crossings are as follows:
·         Inadequate warning and signage
·         Inadequate sight distance
·         Crossing in poor condition leading to trip hazard
·         Large gaps in crossing surface and flangeway causing bicycle tires and wheels to get stuck
·         Lack of education and understanding of railroad crossing operations
The MUTCD has signing and pavement marking guidelines to address vehicular traffic needs at railroad crossings. However, specific guidelines are not provided to address pedestrian and bicyclist needs. Due to the absence of a standards and guidelines, presently, jurisdictions are implementing strategies and measures that they deem appropriate. There is a need for specific guidelines that would address safety and accessibility needs of pedestrians and bicyclists at railroad crossings and measures that could be implemented consistently across the country. The proposed research would lead to better understanding of pedestrian and bicyclist needs at at-grade railroad crossings and development of guidelines to provide accessible and safe crossings for pedestrians, bicyclists, and handicapped individuals.
RESEARCH OBJECTIVE
The objective of this research is to develop design guidelines for railroad crossings to enhance pedestrian and bicyclist accessibility and safety. The three phases of the research are as follows:
Phase I: 1 year ($150,000)
·         Identify current practices within the US and other countries
·         Identify safety and accessibility concerns at urban and suburban railroad crossings
Phase II: 6 months ($100,000)
·         Conduct behavioral research to test the effectiveness of particular safety treatments
Phase III:  6 months to 1 year ($100,000)
·         Develop separate design guidelines for urban LRT and commuter/freight train railroad crossings and suburban commuter/freight train railroad crossings
Under each phase, the research should address pedestrians, bicyclists, and handicapped users separately. The crossing needs of the three users are unique in some ways and need to be studied separately.
For the research, railroad crossings for commuter and freight train would be one category and LRT crossings would be the second category. The research will include evaluation of urban and suburban railroad crossings. LRT crossings will not apply for suburban areas.
It is important to have an understanding of pedestrian and bicyclist interactions at railroad crossings. The three critical human factors of vision, hearing, and touch need to be addressed in order to develop strategies that will improve safety. The key factors include but are not limited to the land use in the vicinity of the crossing, the nature of crossing, understanding of the train operations, skew of the railroad crossing, and ADA requirements. The construction method, materials, and maintenance of the crossing surface are very critical factors in the safe crossing of pedestrians, bicyclists and wheel chairs. Skid resistance and flangeway gaps are important aspects of the crossing design and need special attention in the design process. As part of the research, initiatives to educate users need to be developed.</t>
  </si>
  <si>
    <t>AHB70, Access Management</t>
  </si>
  <si>
    <t>Using Visualization to Communicate the Benefits of Access Management to the Public</t>
  </si>
  <si>
    <t xml:space="preserve">http://rns.trb.org/dproject.asp?n=20068 </t>
  </si>
  <si>
    <t>III.       RESEARCH PROBLEM STATEMENT
           The purposes of this research are three-fold:
1.       Assess the current application of visualization in access management projects. In doing so, the research team hopes to learn what visualization tools and methods were previously used and assess any corresponding successes. This effort will result in a preliminary set of professional considerations for using visualization on access management projects.
2.       Develop an interactive visualization prototype to communicate key access management techniques that are typically difficult to convey to the public. An example conceptual graphic visualizing such access management techniques is provided in Figure 1.
3.       Measure the value and benefits to both practitioners and the public of using such a tool.
Background:
In 1999, NCHRP published Report 420, “Impacts of Access Management Techniques” where it identified over 100 individual access management techniques and recommended corresponding classifications based on policy and design criteria. This project is not intended to validate existing research or practices, but is intended to develop a visualization resource that complements existing informational materials used to communicate the principals and benefits of access management. The existing informational materials include, but are not limited to, the following:
·         FHWA Access Management Primer: http://www.ops.fhwa.dot.gov/publications/amprimer/access_mgmt_primer.htm
·         FHWA Access Management Tri-fold Brochure: http://www.ops.fhwa.dot.gov/access_mgmt/docs/benefits_am_trifold.pdf
·         10 Principles of Access Management – Courtesy of Frank Broen: http://www.accessmanagement.info/10principles.html
·         Access Management Overview 1997 (video on CD)
In short: by providing a visualization tool that the public can directly interact with, the hope is that the comprehension of the access management techniques being described in current resources is raised to a level which will facilitate a more engaging and collaborative relationship between the public and those organizations trying to employ them, thereby setting the stage for a more productive process. 
V.         RESEARCH OBJECTIVE
Major Intended Tasks:
1.       Summarize current access management informational materials
2.       Identify and contact two access management projects that are in the early stages of public involvement
3.       Survey practitioners and public on functional specifications for an online Access Management Visualization Tool
4.       Develop web-based Interactive Visualization Tool that educates and informs the public
5.       Develop measures for evaluation
6.       Deliver the prototype Access Management Visualization Tool to the access management projects identified in Task 2 above, and measure the benefits
7.       Compile results
8.       Survey transportation agencies on use of visualization “during” an access management project
9.       Assess benefits and challenges in using visualization on access management projects
Proposed Deliverables:
1.       Formal written report on findings
2.       Web-based Interactive Visualization Tool that educates the public on access management
3.       Descriptive interface and instructions for use thereof
4.       Professional considerations for using visualization on access management projects</t>
  </si>
  <si>
    <t>Protection of Sensitive Utilities Information</t>
  </si>
  <si>
    <t xml:space="preserve">http://rns.trb.org/dproject.asp?n=19403 </t>
  </si>
  <si>
    <t>RESEARCH PROBLEM STATEMENT
The collection and depiction of utilities information on highway plans allows highway designers to consider methods to avoid them and allows constructors to know where they are so as to avoid damaging them. However, utilities information is sensitive and needs to be protected from those in society that may use it for unacceptable purposes. There is therefore a need in each state to determine essential activities requiring utilities information and consistent and accountable methods for protecting that information.   These methods must be acceptable to both highway and utility organizations.
RESEARCH OBJECTIVE
The objective of this research is to identify State and local Departments of Transportation (DOTs) and utility companies that have developed methods for determining when utilities information should be provided and how it should be protected when provided.</t>
  </si>
  <si>
    <t>Transit Cyber Security Guidebook</t>
  </si>
  <si>
    <t xml:space="preserve">http://rns.trb.org/dproject.asp?n=17769 </t>
  </si>
  <si>
    <t>II.            RESEARCH PROBLEM STATEMENT
As described in the National Infrastructure Protection Plan (NIPP), cyber infrastructure includes electronic information and communications systems, and the information contained in those systems.  Information and communications systems are composed of hardware and software that process, store, and communicate. Processing includes the creation, access, modification, and destruction of information. Storage includes paper, magnetic, electronic, and all other media types. Communications include sharing and distribution of information.
Cyber systems are used in a wide range of transit applications, including transit operations, maintenance and scheduling; administration, HR functions and payroll; transit ITS operations including Automatic Vehicle Location systems for buses, and train control and signal systems for trains and other command or control center functions; and intra- and inter-agency communications functions.  Cyber systems are also used for person and vehicle access control and the management and operations of other security applications.
Due to the increased sophistication of hackers, concerns that terrorists may seek to attack cyber infrastructure, and recent cyber attacks on federal agencies (even the Dept. of Defense site was hacked), the topic of transit cyber security is an urgent one. 
III.          OBJECTIVE
The objective of the proposed problem statement is to define the cyber infrastructure within transit agencies, identify the threats and vulnerabilities of this infrastructure, and determine which security measures should be implemented to address them.
IV.          RESEARCH PROPOSED
Phase 1
Task 1 – Review of Literature and Relevant Resources
Relevant cyber security literature, and other relevant resources such as the National Infrastructure Protection Plan, other DHS/TSA publications, and IT industry security experts and transit industry IT specialists should be consulted.  The focus should be placed on current and upcoming cyber threats and IT vulnerabilities, risk management and analysis methods, and cyber security measures.
Task 2 – Identify Cyber Infrastructure, Threats and Vulnerabilities
Cyber systems are used in a wide range of transit applications.  These applications include transit operations, maintenance and scheduling; administration, HR functions and payroll; transit ITS operations including Automatic Vehicle Location systems for buses, and train control and signal systems for trains and other command or control center functions; and intra- and inter-agency communications functions.  Cyber systems are also used for person and vehicle access control and the management and operations of other security applications.
Determine a method by which the cyber infrastructure can be identified and categorized along with associated threats and vulnerabilities for each category of infrastructure.  Also, determine how the agencies are using the information about threats and vulnerabilities to perform risk analysis.  The method may be a survey of transit agencies’ IT mangers or a case study of selected agencies. 
Task 3 – Develop a Cyber Security Measures Selection Methodology
Identify cyber security measures useful for counteracting the threats and vulnerabilities identified in Task 2.
Task 4 – Interim Report
Based on the information obtained in Tasks 1, 2, and 3, produce an Interim Report, and recommend 3 - 5 transit agencies at which the Cyber Security Measures Selection Methodology may be tested.  Details on how Phase 2 tasks may be accomplished should be included in the report. 
The panel will review the interim report, the selection methodology, and the transit agencies recommended as test agencies for the methodology.  Panel feedback will be provided within a month and will be incorporated by the contractor into Phase 2 tasks. 
Phase 2
Task 5 – Test Selection Methodology at 3-5 Transit Agencies
The Selection Methodology will be tested at the selected transit agencies, and feedback on the technical aspects of the methodology as well as the user interface will be obtained.  Any other lessons learned during the testing process will be documented.
Task 6 – Revise Selection Methodology according to Lessons Learned from Task 5
The Selection Methodology will be revised according to the results of Task 5.
Task 7 – Prepare a Final Report including the revised Selection Methodology, an Executive Summary, PowerPoint presentation slides, and description and results of each task.</t>
  </si>
  <si>
    <t>Intermodal Connections for the Transportation of Containers by Pneumatic Capsule Pipelines</t>
  </si>
  <si>
    <t xml:space="preserve">http://rns.trb.org/dproject.asp?n=15887 </t>
  </si>
  <si>
    <t xml:space="preserve">I. Research Problem Statement
Many major seaports in the nation are over-crowded with containers. This contributes to congestion on roadways and air pollution in densely populated areas adjacent to port facilities. Along with concerns about congestion and pollution are concerns about safety and security at port facilities, especially as related to possible terrorist usage of containers to carry materials that if deployed could cause considerable damage and loss of life in nearby densely populated areas. Pneumatic capsule pipelines (PCPs) represent an alternative that could help address concerns about congestion, pollution, safety, and security. Such pipelines could be used to carry containers from port facilities to less populated inland locations where the containers could be stored, inspected, and distributed by truck or rail to intermediate and final destinations, thereby helping to address congestion and pollution concerns as well as potentially reducing the likelihood of damaging impacts from terrorists’ activities in densely populated areas near ports.
Moving materials by pneumatic capsule pipeline is a relatively new technology which currently is being used in several locations. For example, PCPs are being used in Japan to transport minerals, construction materials, and solid wastes over short distances in circular pipes one meter in diameter or in one meter square rectangular conduits. To date, no system has been built to move containers by pipeline, but a system was studied in 2003 in a project sponsored by the New York State Energy Research and Development Authority. More detailed design and analysis are needed before such a system can be made operational. Other future research needs would include the investigation of design, financial, and other issues associated with intermodal connections at the two ends of the PCP conduit; i.e., the marine terminal on one end and a truck and/or train terminal on the other end.
The proposed research builds upon and extends previous research on moving freight by pneumatic capsule pipeline. For example, in 1976 the U.S. Department of Transportation sponsored a comprehensive research project which addressed the history, technology development, economics, environment, and social impacts of freight pipelines. The study also planned and analyzed a 6-ft diameter PCP from Philadelphia to Chicago for transportation of general freight.
Fifteen years later, the Intermodal Surface Transportation Efficiency Act (ISTEA) included a provision requiring the US Department of Transportation to “conduct a study to evaluate the feasibility, costs, and benefits of constructing and operating pneumatic capsule pipelines for underground movement of commodities other than hazardous liquids and gas.” In response to this requirement, the Volpe National Transportation System Center conducted a study and issued a 1994 report entitled “Tube Transportation,” which investigated the technical and economic feasibility and environmental and safety benefits of PCPs. In 1996, the American Society of Civil Engineers (ASCE) held a national workshop on pipeline research needs, which was followed by publication of a workshop report that identified freight pipeline as a needed key research area. In 1998, the ASCE Task Committee on Freight Pipelines prepared a state-of-the-art assessment report published in the Journal of Transportation Engineering, Vol. 124, No. 4.
From 1991 through 2000, the National Science Foundation supported the Capsule Pipeline Research Center, University of Missouri- Columbia, to conduct research and development on various types of capsule pipelines, including PCPs. Among the results of this research was the development of an electromagnetic capsule pump that would greatly enhance the capability of PCP for long-distance transport of containers.
In 2003, the Freight Pipeline Company completed “Feasibility of Underground Pneumatic Freight Transport in New York City” under the sponsorship of the New York State Energy Research and Development Authority. The study concluded that five potential PCP applications, including one for transporting containers in large underground conduits, were cost-effective and had environmental and safety benefits resulting from the reduced usage of trucks.
II. Research Objectives
The objective of this research is to investigate the planning and design of the intermodal terminals at the two ends of the PCP conduit: a marine terminal on one end for loading containers to and from ships, and an inland inspection/intermodal-transfer terminal or station for connection to trucks and/or railroads. The research would include investigating a terminal design that would accommodate two-way movement of containers between marine and inland terminals.  </t>
  </si>
  <si>
    <t>The Effect of Vertical Ground Motion on Column Shear Capacity</t>
  </si>
  <si>
    <t>http://rns.trb.org/dproject.asp?n=15214</t>
  </si>
  <si>
    <t>III.  RESEARCH PROBLEM STATEMENT
There has been a great deal of research during the last few years on vertical ground motion and its impact on bridges.  Most of this research suggests that vertical ground motion during earthquakes is not a life-safety issue for most bridges.  However, one area where results have caused concern is in the shear capacity of bridge columns.  Near a fault, vertical ground motion can put a column into tension for short durations of time, reducing the column’s shear capacity to just the shear strength of the transverse reinforcement. 
Research is required to determine whether this is a serious problem. One question is whether columns designed to resist shear using the combined shear strength of the concrete and the transverse reinforcement may be vulnerable during high vertical ground motion. This is a complex issue since strong vertical motion occurs near the beginning of the earthquake record and at high frequency.  How this couples with the longer period lateral ground motion to cause column shear damage needs to be determined. 
Because columns should never fail in shear, further research is required to resolve this issue. 
IV.           RESEARCH OBJECTIVE
The objective of this research is to determine the effects of large vertical ground motions on the shear capacity of columns designed using the latest AASHTO LRFD guidelines.  If the columns are found to be deficient, then the final product will be recommendations on when vertical ground motion needs to be considered in column design and methods to determine the shear capacity. Tasks that should be considered include a careful study of past research. This will help the researchers determine how to select the largest vertical ground motions that are likely to occur. This may be aided by a determination of the relationship between vertical and lateral ground motion in the frequency domain.
Bridge column tests (designed to the latest AASHTO LRFD Guide Specifications) with recorded near-field ground motion on a shaking table will be required.   The shaking table should be capable of vertical and lateral motion.  Because of the catastrophic nature of shear failure, some precaution must be taken to prevent damage to equipment (and to personnel) during these tests. The columns should be tested with only lateral ground motion and with a combination of lateral and vertical ground motion to see how the vertical component impacts the column. Single column bents and two-column bents should be tested to see how each performs. If a bent fails in shear, it should be rebuilt with more transverse reinforcement or with other details to make it stronger and retested to see if it can be designed to survive the earthquake. The bent models should be analyzed and their parameters adjusted until the same results are achieved. After the tests, a design procedure should be developed that identifies when vertical acceleration needs to be considered, and how to design the column and bents to survive the combined ground motion without shear failure.  The steps includes:
1.      Perform a search of the existing literature to determine current state of knowledge on vertical ground motion, how it combines with lateral ground motion, and how it impacts the shear capacity of columns.
2.     Select ground motions with large vertical and lateral components that appear likely to damage one and two column bents.
3.     Design the bents for the ground motion that would occur at the sites where these recorded ground motions were obtained. 
4.     Perform shake table tests without and with the vertical component of ground motion to see if bridge bents designed to the current seismic criteria are vulnerable to shear damage.
5.     Perform a detailed structural analysis (of the bent models studied above) to identify column and ground motion parameters that cause column damage.
6.     Rebuild any bents that failed in shear and retest to see if they can be designed to survive the combined ground motion.
7.      Develop advanced and simplified procedures for including vertical ground motion in the seismic design of bents.
8.      Write a detailed report describing research, results, and how to implement them.</t>
  </si>
  <si>
    <t>Evaluation of Alcohol Education Media and Enforcement Programs in Neighborhoods with High Concentrations of DWI Offenders</t>
  </si>
  <si>
    <t xml:space="preserve">http://rns.trb.org/dproject.asp?n=14753 </t>
  </si>
  <si>
    <t>The purpose of the study is to identify neighborhoods with high concentrations of DWI offenders and to target focused alcohol education and enforcement efforts towards these neighborhoods.  An evaluation will be developed of the effectiveness in reducing DWI over the short period of the study.  Several studies have demonstrated that a disproportionate number of DWI offenders come from certain neighborhoods, one of the characteristics of which is a high concentration of bars and liquor stores.  There appears to be a ‘culture of alcohol’ which encourages DWI.  Anti-DWI education and enforcement programs have not generally focused on specific neighborhoods, possibly limiting the effectiveness of such program.  The aim of the study is to identify high DWI offender neighborhoods, focus alcohol education and enforcement efforts to these neighborhoods, and evaluate the effectiveness in reducing drinking and DWI behavior over a short time period.
The research study would accomplish five tasks.  First, the researcher will identify four neighborhoods in one metropolitan area that have a disproportionate number of DWI offenders and four neighborhoods that have a lower proportion of DWI offenders.  Second, the researcher will partner with local police and with organizations that provide adult alcohol education media efforts to implement an alcohol education media campaign and a DWI enforcement program for these eight neighborhoods.  Third, the researcher will draw a sample of convicted DWI offenders living in these eight neighborhoods with the aim of surveying them before and after the program implementation.  Fourth, the researcher will implement the campaign and enforcement in a quasi-experimental design with half the neighborhoods (high DWI concentration and low DWI concentration) receiving both the alcohol education media program and increased DWI enforcement and half only receiving the alcohol education media program.  Fifth, the researcher will evaluate attitudes and self-reported behaviors of the sample respondents both before and after implementation of the interventions to determine which strategy was most effective in changing attitudes about alcohol and about DWI.
 Objective
·        Recidivism among DWI offenders is a major factor in alcohol-related crashes.  Many anti-DWI programs have been ineffective because they did not target specifically communities with a high incidence of DWI.  The study can demonstrate that targeted alcohol education and enforcement efforts can produce a substantial change in attitudes by drivers with prior history of DWI and help shape anti-DWI programs throughout the nation.</t>
  </si>
  <si>
    <t>Prototyping Roadway Engineering Improvements to Reduce Drunk Driving Crashes</t>
  </si>
  <si>
    <t>http://rns.trb.org/dproject.asp?n=14749</t>
  </si>
  <si>
    <t xml:space="preserve">The purpose of the study is to explore roadway engineering improvements that can be implemented to reduce drunk driving crashes. It is generally accepted that most DWI crashes are behavioral in nature, one or more drivers being intoxicated with alcohol or other drugs. Yet, studies on the locations of DWI crashes do find specific locations where a disproportionate number of such crashes occur. The purpose of the study will be to identify potential roadway engineering improvements that could reduce DWI crashes, including changes in roadway geometry, signaling, signage, creation of obstacles to slow drivers, automated detection systems for erratic driving, adaptive signals to slow vehicles, and other roadway technologies.
 The research study will accomplish three tasks. First, the researcher will review the literature on engineering features to identify possible improvements and roadway technologies that could reduce DWI crashes. Second, the researcher will conduct interviews with knowledgeable individuals about each of the technologies to explore benefits, problems and potential costs. Third, the researcher will produce a report comparing the technologies and will estimate the likely benefits and costs of each of the technologies and will produce a prioritization.
Objective
·        The objective is to increase the range of tools available for departments of transportation and public works and local police to reduce DWI crashes. </t>
  </si>
  <si>
    <t>The Interface of Smart Cards and Transit Benefits</t>
  </si>
  <si>
    <t xml:space="preserve">http://rns.trb.org/dproject.asp?n=14385 </t>
  </si>
  <si>
    <t xml:space="preserve">II. RESEARCH PROBLEM STATEMENT
Smart card systems and transit benefit programs are perhaps the most important fare-related innovations of the past ten years. To date, however, there has been relatively little integration of these two innovations. Transit benefits are most often provided using the physical distribution of transit passes or vouchers. To a much smaller extent, debit card systems are emerging as a way to provide transit benefits. To an even smaller extent, “direct transmission” programs are being used through which funds and data are provided directly from an employer (or benefits administrator) to the smart card system. Each of these approaches has appeal to certain segments of the diverse employer market, with segments including but not limited to government vs. private sector, small vs. large employers, white color vs. industrial businesses, internet-friendly businesses (and employees) vs. non-internet businesses (and employees). 
Some smart card systems began development before transit benefits became as prominent as they now are. Use of transit benefits will surely increase rapidly in the very near term.  At least one smart card system that is now being introduced was designed without a focus on the interface between employers and the smart card system, i.e., its framework was almost exclusively designed with regard to the interface between the individual rider and the smart card system. In effect, the employer, as a broker or source of a bulk order for the smart card system, didn’t receive the attention that it might have. Another prominent transit agency developed its smart card and transit benefit programs in tandem and has had notable success. Essentially, there is a need to design smart card systems for both individual riders and employers, recognizing that the latter has very diverse characteristics. 
This research would review available information, conduct interviews and generally make the case for integrating smart cards and transit benefit programs, with a goal of maximizing the use and efficiency of both programs.   
III.  OBJECTIVE
The goal of the work will be to provide guidance to transit systems developing or considering the development of smart cards regarding the features and procedures that the smart card system should include in order to maximize the likelihood that there will be a successful integration of the smart card system with the provision of transit benefits. In so doing, the smart card system will maximize the efficiency of fare collection and also allow the full impact of transit benefits to be achieved. 
IV.  RESEARCH PROPOSED
The research would include a literature review, interviews with leading transit benefit programs and services, interviews with management of transit agencies developing or planning development of smart card systems, profiles of the leading transit benefits and smart card programs, and development of appropriate recommendations. </t>
  </si>
  <si>
    <t>Best Practices in Working with Retail Outlets for the Sale of Transit Fare Media</t>
  </si>
  <si>
    <t xml:space="preserve">http://rns.trb.org/dproject.asp?n=14383 </t>
  </si>
  <si>
    <t>RESEARCH PROBLEM STATEMENT
Transit agencies try to make it as easy as possible for customers to purchase transit fare media such as 7-day or 31-day passes, or multi-ride tickets.   These types of fare instruments can usually be purchased at transit stations, transfer centers, or administrative facilities. In addition, transit agencies often cooperate with local retail stores and businesses that serve as points of sale for transit fare media. Places such as chain supermarkets and pharmacies often sell such transit fare media at their establishments. The stores often do this to provide another service for their customers and possibly to give themselves a competitive advantage over other similar stores. For transit agencies, using retail outlets for the sale of fare media is a way of partnering with community businesses and a relatively inexpensive way of providing a convenience for their passengers.   Retail outlets generally are compensated in some fashion such as receiving a commission for all the media they sell. However, the arrangements between transit agencies and the retail outlets vary considerably.
Commissions offered by transit agencies to retail outlets vary from zero to as much as six percent of the value of the passes sold. One transit agency has reported that instead of providing sales commissions to retail outlets, it provides them with advertising opportunities that the transit agency receives in trade with media companies that advertise on their buses.   Some transit agencies require the retail outlets to pay for the value of all passes received prior to selling them, while others work with retail outlets on a consignment basis. Some transit agencies trust retail outlets to sell the full range of fare media including discounted passes, while others restrict retail outlets to selling only full-fare media due to concerns that the staff members at retail outlets change too frequently and won’t understand the nuances of needing to check for identification when someone asks for a senior or disabled pass. Some transit agencies are moving to smart cards and added-value cards and now have retail outlets sell only those types of instruments at their locations. Some transit agencies try to have as many retail outlets as possible, while others offer exclusive rights to major chains that agree to sell their passes. Some don’t use retail outlets at all, and now sell passes through their websites. Some only sell passes through their fareboxes.
III.           OBJECTIVE
The goal of this project would be to identify best practices that exist between transit agencies and retail outlets that sell transit fare media.   Using retail outlets to sell transit fare media can help promote more transit ridership, but it can also invite problems of discounted passes being sold to ineligible people, causing the transit agency to lose revenue. There might be wonderful working relationships that have been developed between transit agencies and retail outlets that very few transit agencies are aware of. This project would identify the types of agreements that seem to offer the best opportunities for healthy, fair, and productive relationships that work well for the transit agencies, retail outlets, and customers.  
IV.           RESEARCH PROPOSED
The research would include a literature review, a survey of marketing managers of transit systems throughout the country, and follow-up telephone interviews with marketing managers to obtain more details as necessary. In addition, the research should include telephone interviews with at least a dozen representatives of retail outlets to gain their perspective of the advantages and disadvantages of providing such services. The project should also include conducting focus groups among passengers to help identify their concerns, interests, and priorities regarding their ability to purchase transit fare media at places other than the transit facilities.</t>
  </si>
  <si>
    <t>ANB40, Traffic Law Enforcement</t>
  </si>
  <si>
    <t>Quantifying the Costs and Benefits of Red Light Camera Enforcement</t>
  </si>
  <si>
    <t xml:space="preserve">http://rns.trb.org/dproject.asp?n=14269 </t>
  </si>
  <si>
    <t>Problem:  The societal costs and benefits of red light cameras have been minimally evaluated.  The issue of red light camera usage affects our society in multiple dimensions that include intersection injury crash impacts, jurisprudence implications, privacy impacts, financial impacts, and stress issues including driver safety concerns.   Little available research has focused on a holistic approach to the evaluation of automated traffic devices.  This has led to analyses focusing on a single affect or dimension.  The outcome is that the law enforcement community and policymakers are provided with a series of research outcomes that can contradict and misinform the impact of this law enforcement tool. 
Costs of red light camera enforcement include direct costs of implementation, potential negative reactions from the public due to privacy issues, indirect costs related to collection of fines, and other issues reveled through analysis of existing research.  Benefits of red light camera enforcement may include reductions in property damage costs, human costs due to injuries or deaths, reductions in stress associated with driver safety concerns, and other issues revealed through analysis of existing research.  Revenue generation from red light camera enforcement is considered as a separate issue that might be considered either a cost or benefit, depending on one’s perspective. 
Objective: The study should utilize a policy analysis format to compare a status quo local government without red light camera enforcement to possible alternative policy options that include various implementations of red light camera enforcement to achieve net reductions in societal costs associated with red light violators.</t>
  </si>
  <si>
    <t>Marketing, Communications and Funding - Quantifying and Articulating the Benefits/Costs of Making/Deferring Transportation Investments</t>
  </si>
  <si>
    <t xml:space="preserve">http://rns.trb.org/dproject.asp?n=14229 </t>
  </si>
  <si>
    <t>ABC10, Strategic Management</t>
  </si>
  <si>
    <t>PROBLEM: Communicating to funding decision-makers why it is critical/important to increase transportation allocations has not been easy to do. In the past, long standing relationships with politicians who have been engaged in transportation have been relied on to sway decisions towards transportation. In a political system that is constantly changing with new players and in a hyper media society, the need to communicate transportation funding needs clearly and simply so that everyone can understand the message is critical.
OBJECTIVE:  Identify successful ways for quantifying and articulating the benefits/costs of making and deferring transportation investments. Use case studies as well as develop new techniques for both the quantification and the communication. Provide information on the use of marketing approaches to proactively recast the public’s perception of the transportation services and products delivered by a state DOT and its partners. 
Part 1 – Research that develops a standardized methodology/framework for quantifying and reporting both economic and quality of life impacts, by state, of both preservation/stewardship and capacity transportation system investments.
Part 2 – Support the application of the methodologies and/or conduct an analysis in each state to develop state-specific data on the economic impacts of transportation investment.
Part 3 – Develop candidate messages for varying situations for communicating the need.</t>
  </si>
  <si>
    <t>A Synthesis of Construction Vibration and Potential Effects to Historic Buildings Adjacent to Transportation Projects</t>
  </si>
  <si>
    <t xml:space="preserve">http://rns.trb.org/dproject.asp?n=14205 </t>
  </si>
  <si>
    <t xml:space="preserve">Problem
 Historic Preservation professionals and owners and residents in historic buildings often express concern about the potential damage caused by vibration from transportation construction activities.  Expressing their concerns before the beginning of a project they may request costly monitoring; expressed during construction their concerns are usually more passionate and the sought-after remedies more time consuming and costly.
 Objectives and Benefits
 This synthesis will provide transportation agencies with necessary background and guidance for the evaluation of the potential for vibration damage to historic buildings.  It will provide guidance in evaluating whether historic buildings are particularly vulnerable to vibration damage.  Currently, much of the information on vibration and its effects on buildings is isolated in specific project files or state DOT research departments.  By gathering and reviewing this information, the wider community of transportation officials, cultural resource specialists and historic preservation advocates will have a much more thorough basis for discerning legitimate from spurious concerns.  This discussion has been hampered by the inclusiveness of the Criteria of Adverse Effect (farther distant in place or removed in time) as put forth by the Advisory Council on Historic Preservation (36 CFR 800).  </t>
  </si>
  <si>
    <t>Costs and Financing of Transportation Security: National Policy and Planning Roadmap</t>
  </si>
  <si>
    <t xml:space="preserve">http://rns.trb.org/dproject.asp?n=13919 </t>
  </si>
  <si>
    <t>II.  RESEARCH PROBLEM STATEMENT
There is general consensus that major investments in security of the national critical infrastructure had to be made and have to be continually made if national security is to achieve a level of protection and security that is to be acceptable as “safe,” rather than “safer” (than, for example, at the time of the World Trade Center catastrophe.) The issue of critical transportation infrastructure protection (CTIP), its scope, needs, costs and financing has been incompletely addressed, particularly from the standpoint of establishing an agreed public policy. Indeed, there is no consensus on who should be involved in policy-making and planning, let alone agreement on who should be made to pay for security innovations.  A roadmap is required. To date financial shortfalls between the costs of identified needs and available revenues demonstrate gross impediments to implementation of vital security measures. Creative financing mechanisms and multiple sources are required to address that problem. In addition, while there have been several actions taken by the U.S. government re transportation security (involving federal government reorganization, attempts at outreach to state governments, local &amp; regional authorities and the private sector with vested interests in all modes of transportation) there are discontinuities and gaps in data and information that will allow discussion, debate and decision-making in the formulation of public policy and long-range transportation security planning. . Considerable information and data exists regarding technology and there is an emerging consensus that CTIP will be best achieved by a multi-tiered system of technologies, devices, and components. Reliable cost data and financial information, however, is sorely lacking in order to act on implementation on such (a) system(s).. That deficiency has to be addressed. Concomitantly, with the generation of reliable cost data and financial information, there is a requirement to analyze and determine the respective roles of stakeholders and beneficiaries of the investments in CTIP.  Ultimately there will need to be an agreed distribution of costs across multiple sectors of society:  government (federal, regional, state, and local), transportation authorities (public, private and public-private), transportation businesses and associations, “users” (e.g., ridership, customers, the general public) and even transportation workers (e.g. individual license fees, biometric cards, training costs)
III.  OBJECTIVE
The objective of this research is the development of a comprehensive working document, a roadmap, to be used as a reliable basis for discussion, debate and formulation of a national strategy and policy for CTIP. The working document will identify key issues facing policy-makers and planners. It will include recommendations on the composition of policy and planning groups.  It will include reliable cost and financial information for key technologies that can form the basis for a multi-tiered system of CTIP, applicable across transportation modes and other critical infrastructure sectors. The document will recommend three case models that will provide baselines of possible or probable transportation security systems using the weighted priority formula, the most popular approach for selection of projects for cost-feasible transportation planning. The working document will propose underlying principles for distribution of investment costs and financing across all stakeholder sectors.</t>
  </si>
  <si>
    <t>Performance Measures for Societal Goals</t>
  </si>
  <si>
    <t xml:space="preserve">http://rns.trb.org/dproject.asp?n=13873 </t>
  </si>
  <si>
    <t>DESCRIPTION OF NEED
Municipalities and transit agencies often have to justify their transit projects on the basis of increasingly complex goals.  Some agencies are implementing alternative fuels to help their cities meet clean air mandates.  Others are instituting new transit routes to satisfy environmental justice concerns.  Yet others are being told that they are “key” to solving their towns’ congestion problems.  The difficulty with this broad set of goals is that no one transit solution works.  A solution for basic mobility may not help with congestion at all, while a solution developed for air quality benefits may not alleviate service issues for the elderly and persons with disabilities.  The best way to approach this problem may be to recall that “you get what you measure.”
The way to develop solutions that address the multiplicity of issues faced in transit for today’s complex society is to determine what the performance criteria are, and then to develop measures for those criteria.  Thus, if congestion is a problem, but ambient air quality is also a problem, what performance criteria can we use to determine whether our proposed service meets both goals? Are the issues complimentary?  That is, does addressing congestion in and of itself address the air quality goals?  Or are there unintended consequences of raising average vehicle speeds by improving the transit service, or of implementing alternative fuels and technologies?
One very current example of this is the goal of meeting ambient air quality standards with urban buses.  Some cities have bought whole fleets of Compressed Natural Gas buses, because these emit very low levels of Volatile Organic Compounds and no particulate matter.  However, with growing concerns about global climate change, some cities are discovering that their CNG fleets emit methane (through evaporation) and significantly more Carbon Dioxide than diesel buses per mile of operation.  Thus, CNG addresses the issue of criteria pollutants, but produces much greater Greenhouse Gas emissions.  A recent Supreme Court decision may have the effect of adding Carbon Dioxide to the list of Criteria Pollutants.  Having performance criteria and defined measures would therefore help localities and transit agencies to select the optimal technology for their needs and circumstances.  For example, does the transit agency really contribute to overall fuel economy by switching to a more fuel-efficient bus that does not carry as many people?  Should we be measuring transit fuel economy on a per passenger, or per trip basis?
OBJECTIVE
This research is expected to produce a guidebook for transit and planning officials to use in making new investment decisions for specific purposes such as congestion relief, environmental concerns, basic mobility, and transportation effectiveness.  The guidebook would identify complementary and conflicting performance criteria, and their measurement framework, to enable the local decisionmakers to properly balance their investment decisions with intended outcomes and benefits.</t>
  </si>
  <si>
    <t>ABE70, Women's Issues in Transportation</t>
  </si>
  <si>
    <t>Impact of Poverty on Children's Access to Activities</t>
  </si>
  <si>
    <t xml:space="preserve">http://rns.trb.org/dproject.asp?n=13858 </t>
  </si>
  <si>
    <t>Young people are increasingly not biking or walking to activities.  Zoning practices that have separated uses make it difficult to walk or bike to activities – therefore, young people must rely on being driven to their activities.  In low-income households the ratio of operational vehicles to licensed drivers is low.  It may be difficult for young people from low income households to access activities which are part of growing up and generally participating in society.
To examine access to essential activities by young people from low income households.</t>
  </si>
  <si>
    <t>Distribution Factors for Design of Bridge Girder with FRP Decks</t>
  </si>
  <si>
    <t xml:space="preserve">http://rns.trb.org/dproject.asp?n=12700 </t>
  </si>
  <si>
    <t xml:space="preserve">I. Research Problem Statement
Building bridges with non-corrosive FRP decks is one of the promising applications for the use of composite materials in the civil infrastructure. Several states have embarked on pilot projects to explore the feasibility of this promising application. It is well known that the number one item of maintenance cost is fixing/replacing bridge decks that have deteriorated due to harsh environmental conditions. The advantages that FRP decks have to offer (non-corrosive, light weight, etc.) outweigh its disadvantages (connection details, vulnerability to dynamic loads, etc.), which can all be improved by further research. However, as it is always the case with civil infrastructure applications, FRP decks have not been widely accepted, and rightly so, by the bridge community. This research will address one of the major barriers that prohibit many designers from adopting the use of FRP decks. AASHTO has always provided simplified means by which the design of a complex bridge system can be carried out without resorting to costly refined methods. Since the 1930s, designers have used simplified distribution factors that isolate the transverse design of a bridge from its longitudinal design. It is the common practice and the training that all bridge designers get accustomed to. The distribution factor expressions in AASHTO-Standard were overhauled in AASHTO-LRFD based on the results from NCHRP Project 12-26. AASHTO-LRFD recognizes the impact of relative stiffness between the deck (transverse direction) and girder (longitudinal direction) on the distribution factor which was lacking in AASHTO-Standard. The calibration of the current AASHTO-LRFD expressions was intended for concrete decks and was not intended to be applicable for FRP decks which have a different stiffness that may be non-uniform if some of its portions are cast in place concrete to ensure composite action or provide shear keys. Another project (NCHRP Project 12-62) which was meant to address some shortcomings in the current expressions in AASHTO-LRFD does not address FRP decks as well. Lacking simplified expressions for the distribution factor of girder bridge with FRP decks puts a huge burden on designers, which normally would opt for a more common, well-understood, and easily designed alternative; i.e. cast-in-place deck. Providing these expressions would eliminate this unnecessary barrier, which would give designers the tools they are accustomed to, the industry a boost it needs, and bridge owners the low-cost decks they need.
II. Research Proposed
The objective of the project is to provide bridge engineers with tools for the design of FRP decks that conform to current AASHTO-LRFD design specifications. The research should include a survey of the properties of FRP decks available in the market. This information will be synthesized and categorized based on their structural properties. Distribution factors will be obtained from intensive analytical studies that need to be conducted to cover a wide range of parameters. The analytical models will first be verified through load testing of existing bridges with FRP decks. Results from this research will need to be presented in the form of provisions in preparation fro adoption in AASHTO-LRFD. The goal of the research should include the development of design specifications for inclusion in the AASHTO LRFD manual. </t>
  </si>
  <si>
    <t>Managing Environmental Impacts of Erosion And Sedimentation From Local Rural Roads in the Federal Aid Program Due to New Agricultural, Mining and Logging Economies</t>
  </si>
  <si>
    <t xml:space="preserve">http://rns.trb.org/dproject.asp?n=12511 </t>
  </si>
  <si>
    <t>AFB30, Low-Volume Roads</t>
  </si>
  <si>
    <t>Research Problem Statement
Many local rural roads were designed to provide land access with little thought given to high traffic or heavy loadings.    In some areas this includes higher classified “farm to market” or collector routes on which bridges and pavements were designed for infrequent heavy loading, even then only seeing those larger loads during harvest when roads were not subject to the effects of spring thaw.   Even unpaved roads are seeing much heavier and more frequent heavy loadings in many rural areas with the advent of large livestock confinement operations, new biofuel plants, and wind power generation development. 
The growth of ethanol plants, large livestock operations, wind farms and rural subdivisions is causing a change to traffic patterns and significant traffic growth in areas with roads that were designed for light traffic and infrequent heavy truck loads.  Increasing demand for coal and aggregate has led to additional low volume road truck traffic demand for mining operations that are exploring new areas and deposits of needed material.  Logging operations press new demands upon low volume roads as well with the increased demand for building materials sending timber companies into new areas.    
In addition to the increased weight of many of these loads, some of the vehicles using the roads are extremely long or wide in the case of wind farm development and the geometrics of roads last improved in the 1940-1960 period are not designed to accommodate their turning movements of very long or wide vehicles.  In some states transportation patterns for grain are changing from going to elevators to going to ethanol plants.  The transportation infrastructure may be used differently than in the past such as:  
a) Going to different locations
b) Continuous grain, feed, or material movement throughout the year
c) Different routes may be utilized than the historic “farm to market” or collector highway system. 
These factors have all lead to accelerated deterioration of road surfacing material and higher rates of sedimentation.
       Erosion (runoff) and sedimentation of and from local rural (low-volume) roads can adversely impact the environment.  Many low-volume roads are  soil or  aggregate surfaced, have steeper grades than many paved roads, and are designed and maintained on narrower rights-of-way with steep  fill slopes and back slopes and narrow or non-existent ditches.  Runoff from rainfall can lead to erosion of the road surface or ditch bottoms.  Drainage channels leading from the roads to nearby watercourses are receptors of soil and rock eroded from unsealed surfaces of these roads.  Eroded sediments can adversely affect upland streams, damaging the aquatic ecosystem or increasing the risk of flooding. Low-volume roads can act as 4th order intermittent streams in times of high rainfall, and can significantly contribute to peak flows in higher order streams.
       When these roads are the receptors of agricultural runoff, roadside drainage is clogged, leading to road grade instability.  Some agricultural runoff is contaminated with manure and/or chemicals, which can reach downstream receptors and/or kill roadside vegetation, thus exacerbating erosion problems within the right-of-way.  Stream crossings may have been adequately designed to carry the hydraulic capacity, however, fish passage and debris flows are often a concern for embankment stability and species habitat.
       Not all roads, and not all segments of a given road, cause such problems.  However, methods need to be developed to assist road planners and managers in identifying problem segments of roads and applying appropriate mitigation measures to those segments.
Objective
       The objectives of this research need are to develop simplified tools and procedures to:
1.    Measure offsite adverse impacts of runoff from low-volume rural roads, in particular erosion and sedimentation of adjacent drainage channels and watercourses.
2.    Assess adverse effects of agricultural runoff to roadside drainage ditches and subsequent problems created for downstream watercourses, roadbed stability, and roadside vegetation.   (This includes concerns with disposal of the sediment excavated from the roadside when contaminated by manure and/or chemical runoff.)
3.    Identify critical parameters such as changing use patterns, heavier and wider truck loads, road layout and geometry, site soils and geology, regional rainfall intensity and frequency and inappropriate drainage design contributing to the problem(s).
4.    Develop tools for identifying problem segments of roads during planning and/or review stages
5.    Identify cost-effective mitigation measures that rely on: (a) appropriate modifications to road siting, layout and design (b) structural and non-structural (bioengineering/ roadside vegetation management) measures to minimize the adverse impacts of road runoff and (c) traffic and pavement management systems for analyzing alternate route strategies.</t>
  </si>
  <si>
    <t>Standards</t>
  </si>
  <si>
    <t>Count</t>
  </si>
  <si>
    <t>% of records</t>
  </si>
  <si>
    <t>%</t>
  </si>
  <si>
    <t>Records related to sustainability by year</t>
  </si>
  <si>
    <t>Year</t>
  </si>
  <si>
    <t>Total Records</t>
  </si>
  <si>
    <t>% related</t>
  </si>
  <si>
    <t>ADD20, Social and Economic Factors of Transportation</t>
  </si>
  <si>
    <t>Data for Health and Transportation Planning and Programs</t>
  </si>
  <si>
    <t xml:space="preserve">http://rns.trb.org/dproject.asp?n=32623 </t>
  </si>
  <si>
    <t>Roadside Design for Conflicts in Proximity to Bridge Ends and Intersecting Roadways</t>
  </si>
  <si>
    <t xml:space="preserve">http://rns.trb.org/dproject.asp?n=32316 </t>
  </si>
  <si>
    <t xml:space="preserve">RESEARCH PROBLEM STATEMENT
 A general problem that occurs at many existing highway bridge locations throughout the United States is where the required length of need for guardrail that is required at bridge ends cannot be installed due to conflicts within the existing Right-of –Way (R/W) limits.  The conflicts may consist of an existing intersecting private driveway, state or local roadway intersection or other objects that do not allow the placement of the required guardrail length of need.  It is not unusual at some existing bridge sites to have 10 feet or less between the end of the bridge and the conflict.   
The traditional methods for treating these situations have included using a short radius guardrail system that relocates the barrier around the conflict, using a shorter guardrail section that does not meet the required length of need, using a crash attenuator, relocation of the conflict or leaving the end of bridge barrier unprotected.  Since most typical Test level 3 (TL-3) tangent or flared guardrail end treatment systems are normally around 37 – 50 feet in length, there is typically a problem with fitting the end treatment systems and guardrail transitions to the bridge rail at these restricted sites.  Additionally, no current short radius guardrail system has been able to meet NCHRP Report 350 or MASH Test Level 3 (TL-3) safety performance criteria for high speed roadways.  In many cases the private or public entity is unwilling to relocate the driveway, intersecting roadway or other conflict and the State DOT is left with dealing with a safety problem.
Typically these traditional solutions are not very practical for the sites and prevents the bridge end and any other hazards around the bridge from being properly protected by a longitudinal barrier.    In many cases the State Department of Transportation’s will require that a design exception be acquired to install anything less than the required length of need with the proper guardrail end treatment.  State Department of Transportation’s that use these traditional solutions are also exposed to greater risk to the public being injured in accidents as these sites and future risk to additional litigation from the accidents.   
RESEARCH OBJECTIVE
The primary objective of the research would be to develop safety treatment alternatives to use where intersecting driveways, streets, local roads or other conflicts are placed near a bridge end.  The designs should be able to be installed where the intersection or conflict is placed within a short distance (25 – 40 feet) from the bridge end.   If required the design should be installed in a short distance down the side intersection conflict of no more than 20 – 30 feet.  </t>
  </si>
  <si>
    <t>Older Road User Evaluation of Road Safety</t>
  </si>
  <si>
    <t>Problem
            A substantial increase in both the number and proportion in total population of older adults is expected for most developed countries. A main point of consideration for road designers and road safety engineers is the resulting rise in the number and proportion of older road users, who, given their physical vulnerability and limitations in terms of perceptual, cognitive, and psychomotor performance, would be more likely to have problems in driving and as pedestrians (Staplin et al, 2001), and to adapt (self-regulate) their behavior accordingly.  User-centered roadway design and road improvements should accommodate older road users, the fastest growing population group, by addressing their information needs, limitations and capabilities—and in addition, their perception of risk.
            A critical highway safety issue is the potential discrepancy between the “objective” risk that is attributed to roadways (road sections, road sites) by road safety professionals’ tools and the “subjective” risk attributed by road users.  Such discrepancies can reveal how well roadway infrastructure is understood, perceived, and responded to by road users. This knowledge can inform designers’ ability to accommodate (older) road users, and guide development of educational countermeasures with the potential to influence the perceptions of this group in a manner that enhances their mobility.
Objective
            The objectives of this research are 1) to determine the correlation between the level of safety of particular roadway sites/sections, as perceived by aging road users, and the level of safety provided to the road user according to the International Assessment Programme (iRap) Star Rating protocol; and 2) to identify the site characteristics that account for observed discrepancies between the objective ratings and subjective estimations.
            The needed research will reveal the correlation between subjective estimated road safety and the RPS, as attributed to the road sections by the Star Rating protocol (see below), and the identification of specific roadway characteristics that most strongly influence perceived safety. Analyses of discrepancies between objective calculations and subjective estimations (implying either overestimation or underestimation by drivers of the safety level of the various road sections) will reveal the design elements that individually or in combination account for these discrepancies. The results of this study could provide valuable input into roadway design and improvements that accommodate older road users, and aid in the development of educational countermeasures for this group.</t>
  </si>
  <si>
    <t>http://rns.trb.org/dproject.asp?n=32205</t>
  </si>
  <si>
    <t>Understanding Variability in Road-Based Passengership Rates between Corridors in Order to Identify Opportunities for Improvement</t>
  </si>
  <si>
    <t xml:space="preserve">http://rns.trb.org/dproject.asp?n=31838 </t>
  </si>
  <si>
    <t>RESEARCH PROBLEM STATEMENT
The Summary of TCRP Synthesis 98, Ridesharing as a Complement to Transit (page 4) concludes with the following statement:  It is highly unlikely that transit can absorb the anticipated growth in vehicles that is predicted over the next decade. Ridesharing needs to be given serious consideration as a solution in partnership with public transit if congestion, pollution, and emissions are to be tamed in the future.[1]
It is important for transit to lead the way towards a future where growth in travel demand does not automatically mean growth in private automobile numbers.  However, in the current climate of high energy prices and budget shortfalls this is often seen as an impossible dream.  Meanwhile, it is often pointed out that there is significant underused capacity in the empty seats of private vehicles, particularly during peak travel times when congestion is at its worst levels.
For this problem statement the concept of road-based passengership is introduced.  On the basis that traffic congestion occurs on the roads, and that increments to rail capacity take a long time to realize, the opportunity for transit to manage growth in travel demand (and congestion) in the near-term will be tied to the rate at which people are prepared to be passengers when traveling by road – whether in buses, vans, or cars.  In terms of the impact on congestion, a traveler who travels as a passenger rather than as a driver has the same impact regardless of mode.
The Ridesharing Institute has analyzed the rates of road-based commuter ‘passengership’, that is, the rates at which people using the road for their trip to work ride as passengers, and found significant variation between US cities.  As a percent of all road-based commuters, car, van and bus passengers (excluding drivers) range from 5.3% in Akron, Ohio, to 19.7% in New York and 18.2% in Honolulu. 
Synthesis 98 suggests transit agencies partner with organizations that coordinate ridesharing (carpooling/vanpooling) to help absorb growth in travel demand.  Transit agency staff often has no reliable data to help them set targets and strategies for such partnerships.  This problem statement suggests developing an understanding of the causes of variation in total passengership and carpool and vanpool passengership, between cities and corridors within cities.  The goal is to identify realistic and low-cost strategies based on what is working in high-passengership corridors that is not working in low-passengership corridors.  Such strategies could be utilized by low-passengership corridors to raise their total passengership rates, both to complement existing transit and to provide alternatives in situations when transit services are being reduced.  They might also help high-passengership corridors identify opportunities to further raise their passengership rates.
OBJECTIVE
The objective of this project is to develop a model (a multivariate regression model if there is sufficient data, or alternately an interpretational framework or cost-benefit analysis) that can be used to predict the impact of initiatives to increase passengership based on evidence gleaned from a study of high-passengership and low-passengership corridors, together with case studies about the corridors.  The model, and the case studies that explain the factors present or absent, will be useful to transit planners in developing initiatives to increase passengership for corridors in their cities.  It will be used to asses the types of strategies that are effective, their cost, and impact, and how they can be applied in some currently not well performing metro areas.  This can be expected to lead to increases in total mobility across the nation without significant increased transit system cost.
RESEARCH PROPOSED
The research would include:
Phase 1 – Literature review to a) review existing relevant research in this area in order to guide the study; b) update the data used as a basis for this proposal to reflect the most recent American Community Survey data (and/or other relevant sources if others can help to improve the reliability or comprehensiveness of the data) for commuters and other travelers, with a focus on peak-period travel; c) analyze the data into corridors within cities to the extent possible; d) enable extraction of a sufficient sample of high and low passengership corridors for further analysis; e) create a comprehensive listing of all the factors that might lead to variability in the amount of passengership in different corridors. 
By way of example, the following initial list of potential factors has been identified:
1.       Existing and historical situation (city design and layout, mode choice availability and mix, societal culture of alternative mode use in the community, dominance of the car, cost of parking relative to earnings, price of cars, social image of modes, perceptions of safety, business support, commuter benefits, age / generational factors, congestion / traffic factors, etc);
2.       Solutions (technologies, infrastructure, and systems at origin ends (casual carpooling/slugging, dynamic/instant rideshare, mobile info apps, ride matching services, feeder services, parking systems, etc that facilitate formation of shared rides, including buses); destination ends (circulator buses, car-sharing, bike-sharing, HOV parking, etc); and along the way (HOV lanes, HOV bypasses, etc); that remove barriers and make it easier, more convenient, and more rewarding for people to share rides),
3.       Policy environment (dynamics of the local transportation market, parking charges and structures, tolls, incentives, performance indicators, targets, high occupancy preferential treatment, fuel taxes, etc); and
4.       Public engagement (messaging and other strategies that have resulted in commuters being interested in and prepared to do something other than driving alone, or making the shared ride the default, for example.  Parallels might be found in the recent successes of recycling, compact fluorescent bulbs, second-hand smoke avoidance, and plastic shopping bag reduction).
Create and test a data-collection tool that can be used to capture details of the factors that exist within each of the corridors chosen for further analysis.
Phase 2 – Field survey to a) capture all details of the factors that exist within each of the corridors chosen for analysis; b) record this data into a database for analysis; and c) prepare case studies for each corridor outlining the factors and their development over time to deliver the current result that is being achieved.  It is envisioned that this data capture will be via the internet, with MPOs or similar organizations being engaged to self-report their chosen corridors in return for workshops to interpret the results (or some similar benefit that would keep the cost of data-collection to a minimum).  It is also suggested that the survey capture details for a small sample of corridors in cities in other countries.  This phase would also include data from previous field surveys that may have been done in other studies (such as by FHWA). 
Phase 3 – Analysis of the corridor by corridor data to a) identify any patterns that exist; b) enable to the extent possible the specification of a model or framework that can be used to evaluate other corridors for their potential for greater levels of passengership; and c) specify potential initiatives that the low-passengership corridors (and high-passengership corridors) studied could implement in order to raise their passengership rates.
Phase 4 – Documentation and dissemination of the model and case studies and initiative specifications.</t>
  </si>
  <si>
    <t>Uniform Scaling of Performance Measures for Bridge Management Systems</t>
  </si>
  <si>
    <t>http://rns.trb.org/dproject.asp?n=31793</t>
  </si>
  <si>
    <t>Background
Transportation asset management uses data and objective analysis to improve decision making, with the objective of providing the required level of service in the most cost effective manner. Asset management systems are tools to quantify relevant performance measures, and forecast future outcomes as they are affected by agency policies, resource levels, and exogenous factors.
Owners of transportation infrastructure are expected to satisfy a wide range of stakeholder expectations for performance outcomes. Under limited funding, these expectations may conflict with each other. For example, achieving a higher safety objective may require drawing resources away from capacity projects, thus having a negative effect on mobility. Efforts to analyze the tradeoffs among performance measures are made difficult by the dissimilar measurement systems used; for example, condition is often measured in terms of element condition states and health index, while safety is in terms of accident rate and mobility is in terms of delay time and distance. In a multi-objective framework, it is necessary to have a way to standardize the scaling of each relevant performance measure, to make it possible for decision makers to make valid comparisons among dissimilar objectives.
NCHRP Project 12-67, published as report 590, developed a utility function framework to enable the optimization of bridge program management decisions considering multiple objectives. It described several methodologies for scaling performance measures to make it possible to compare and weight them in utility functions. The project demonstrated the methods in an informal way, but did not attempt a formal specification or estimation of scaling functions, instead leaving it to each individual agency.
AASHTO, state governments, and international agencies have begun to develop bridge management systems that rely on the methods in NCHRP Report 590. All of these systems will need objective scaling functions in order to realize the potential for multi-objective analysis. While the weighting of competing objectives is likely to vary from one agency to another, the uniform single-objective scaling of performance measures is believed likely to be similar across agencies and across asset types, even extending to asset types beyond bridges. Therefore a significant amount of effort may be spared by developing such scaling functions in cooperative research rather than in each agency individually.
Objective
The objective of this research project is to develop a recommended set of scaling functions, including quantitative parameters, for performance measures that would reasonably be used in bridge management systems to implement the utility function methodology of NCHRP Report 590.
In most cases a valid scaled performance measure is a unitless quantity ranging from 0 to 100, where equal intervals have equal value anywhere along the scale.
Potential benefits
NCHRP Report 590 described the benefits of multi-objective analysis, in terms of assuring that bridge program decisions fully reflect the importance of all aspects of transportation system performance. This is especially important for considerations of risk, safety, and mobility that are not well represented in traditional life cycle cost analysis.
Implementation of multi-objective analysis requires the development of utility scaling functions, which Report 590 left to each individual agency. The effort to develop these scaling functions may be considerable, and would have to be repeated separately for each agency. It is believed, however, that the results would be very similar from one agency to another. Many agencies would lack the resources to develop their own functions, or to apply the necessary careful study design to ensure that the scaling functions are objective and credible to a wide range of stakeholders typical of asset management.
Performing this study once and for all, would save each state from having to do it individually, thus reducing the total cost by potentially 90-95%, taking advantage of the power of cooperative research.
Relationship to existing body of knowledge
Existing research studies, including NCHRP Report 590 and the FHWA Long-Term Bridge Program, have identified lists of relevant performance measures. Some of these measures are well documented, as in the AASHTO Guide Manual for Bridge Element Inspection and the FHWA National Bridge Inventory Coding Guide. Other measures of performance, especially risk, may need to be gathered and synthesized from current research in order to specify a list to explore further.
The level of service approach to performance assessment may provide a means of standardizing the descriptions of performance measures without tying these measures to specific measurement technology. This approach is commonly used in Maintenance Quality Assurance programs and described in the AASHTO Guide for Asset Management Volume 2: Focus on Implementation. Levels of service correspond to definitions of acceptable or unacceptable performance, and are further refined by identifying the criteria where preventive maintenance, risk mitigation, or life extension actions are applicable.
Currently the only research report that specifically addresses scaling functions for bridge management performance measures, is NCHRP Report 590. This report describes a set of applicable methods but does not try to quantify them. The proposed research will include the data collection activity necessary to quantify and validate scaling functions.
Tasks
It is envisioned that the research will involve at least the following tasks:
Gather and synthesize the performance measures relevant to bridge management systems, including domestic and international practice. The research should consider measures that may become possible with the completion of the FHWA long-term performance program, and measures that may be broadly applicable across asset management (not strictly limited to bridges). This task includes a literature review which extends to updating the NCHRP Report 590 literature review as concerns scaling functions.
Identify a sample panel of 50-100 bridge owners and other stakeholders and experts, representing the full range of such agencies by geography, level of government, size, climate, and organizational environment. The panel could exceed 50 members when considering the various organizational perspectives (engineering, planning, regional, etc.) in each agency. The sample panel will review the list of performance measures to be considered in the research, and will provide the expert elicitation data required in the next task, by electronic means.
For a set of applicable scaling methods, including but not limited to the methods discussed in NCHRP Report 590, gather and synthesize expert opinion required for development of scaling functions. This includes development of one or more survey instruments and execution of a survey. One or more webinars and/or in-person gatherings of the sample panel will be necessary to ensure panelist understanding and maximize the quality of the data.
Use statistical estimation methods to develop scaling functions for the applicable methods. Measure the level of consistency and reliability of the various methods for each performance measure. Quantify the variance of scaling parameters by level of government, geography, climate, size, or other relevant agency characteristics.
Recommend and document a scaling function, including quantitative parameters, for each performance measure. Describe the variance of parameters according to agency characteristics. Recommend procedures to customize the scaling functions for each agency.
Demonstrate the application of the scaling function in an example multi-objective optimization context. This could be done using Pontis 5.2, or another bridge management system or model that is able to effectively demonstrate the method in action.
Prepare a Final Report.
Implementation activities
This research is envisioned to feed directly into existing efforts to develop multi-objective optimization models in bridge management systems. It will provide default models and methods each agency can use as it customizes BMS models for its own use. Continued FHWA and AASHTO support for bridge management systems, and in general for asset management and performance management, will help to ensure successful and widespread implementation.</t>
  </si>
  <si>
    <t>AP065, Rail Transit Systems</t>
  </si>
  <si>
    <t>Weekday Exception Scheduling in Rapid Transit Systems</t>
  </si>
  <si>
    <t xml:space="preserve">http://rns.trb.org/dproject.asp?n=30041 </t>
  </si>
  <si>
    <t>I.     Research Problem Statement
Weekday exception scheduling in rail transit services can potentially provide better service to customers by matching transit supply to ridership demand more precisely, while also reduce operating costs of urban transit systems. Specifically, treating Fridays (and perhaps also Mondays) differently from other weekdays offers interesting possibilities. As commuters trend towards more flexible work scheduling, telecommuting arrangements, and 4½-day weeks, gaps between midweek and Friday ridership have widened. 
Exception schedules neither were nor are unusual; transit operators ran full Saturday lunchtime rush-hours in the interwar era, while private bus companies, airlines, and freight railroads operate exceptions today. Systematic consideration of day-of-week scheduling in urban local buses and suburban express buses confirmed that Friday modifications were best leveraged in properly distributing services.
While routes clearly have different day-of-week ridership characteristics, overall trends were not clear. Some routes have barely discernable Friday ridership effects whereas others have large and quite actionable effects. Work is needed to confirm rail transit ridership patterns, and identify and quantify underlying factors affecting Friday rail rapid ridership deviations from weekday averages. Some indices for route properties (number and size of business districts served, station character, route length, stop spacing, express/local/zonal service, “radialness” or “feederness”, and whether colleges were present) could be developed and correlated to ridership patterns and trends.
Earlier studies have shown that labor agreements permitting Friday scheduling exceptions as part of picked/bid crew schedules could reduce bus operating costs by 0.6% using vehicle-hours estimation methodology in a typical urban environment.  Available savings were route-specific, with 25% service reductions possible on some, whereas 25% service fortification was required on others with higher Friday ridership.  However, no run-cutting studies (even in buses) have been completed to validate these findings. Generation of proposed Fridays-only operating plans and run-cuts in a typical rapid transit environment, followed by detailed scenario testing through computerized run-cutting, is required to validate cost savings.
Implementing a separate rapid transit schedule tailored to Friday ridership could result in implementation issues. Research is required to identify issues and determine possible mitigation strategies. Issues include: systems with infrequent service or network features like timed-transfers may be negatively impacted by small Fridays-only reductions; customers may become confused by a separate Friday schedule; supporting infrastructure (payroll, internal reports) may be unavailable.
II.   Research Objective
The research would seek to answer the following questions:
Are Friday exception scheduling feasible in a rail rapid transit operating environment?
Do the ridership patterns in rail rapid transit support such a policy change in a broad range of operating environments?
What are the labor agreements needed to facilitate picked/bid Friday schedules? Do current labor agreements provide a good starting point? How can the necessary agreements be reached?
Are there any specific route characteristics that lends itself to a different schedule being operated on Fridays or any other day of the week? 
What are the demographic variables that generally gives rise to weekday exceptions?
What are the magnitudes of operating cost savings available if Friday exceptions were part of the base schedule? 
What are the general trends in time periods/routes that require service fortification on Fridays, versus service reduction? Are there seasonal effects?
What are the implementation issues in a typical rapid transit environment?
What are the best practices?</t>
  </si>
  <si>
    <t>Residual Capacity of Fire Damaged Surface Transportation Structures</t>
  </si>
  <si>
    <t xml:space="preserve">http://rns.trb.org/dproject.asp?n=29362 </t>
  </si>
  <si>
    <t>I. Research Problem Statement
Fire, although an infrequent load, constitutes a severe load which can compromise the integrity of a transportation structure. Fire can significantly alter the mechanical and durability properties of the concrete and steel used in these structures. Immediately after a fire event, the residual capacity of a fire-loaded structure must be assessed for determination of whether the structure can remain in service.   Unfortunately, the lack of quantitative assessment procedures has frequently resulted in structure owners choosing to close and replace structures based on visual perception of surface damage. This type of emergency replacement tends to be prohibitively expensive and can have significant impacts on the traveling public.
Research is needed to facilitate the development of guidance for the assessment of post-event damage and for the determination of residual capacity. Although there is a long history of research assessing the performance of materials under fire, there has been little research completed on the full-scale structural performance of transportation structures under fire loading, particularly in regard to the post-fire residual capacity. Recent advancements in fire testing laboratory capabilities are now making it possible to test full-scale highway bridge structures under realistic fire conditions in a controlled environment. As such, the transportation community now has the opportunity to begin to quantitatively address the structure-level deterioration caused by fire loads, eventually leading to formal guidance as to residual capacity of structural elements.
Although nearly any transportation structure could be impacted by fire loading, slab-on-stringer highway bridges which are the workhorse of the U.S. highway system are proportionally susceptible due to the large number of these structures. This research problem statement proposes to investigate the performance of both concrete and steel girder bridges with concrete decks when subjected to common fire loading scenarios both above and below the bridge. The fire loading would be sufficient to induce significant damage into the structure. After the completion of the fire loading, the tested structure would be assessed for damage indicators. Finally, the structure would be loaded to failure to determine the residual service and ultimate load capacities.</t>
  </si>
  <si>
    <t>Comparative Evaluation of Alternative Financing Costs and Benefits for Complex Transportation Projects.</t>
  </si>
  <si>
    <t xml:space="preserve">http://rns.trb.org/dproject.asp?n=29234 </t>
  </si>
  <si>
    <t>III. RESEARCH PROBLEM STATEMENT
SHRP2 Renewal Project R-10 (Project Management Strategies for Complex Projects) found that the means by which a complex transportation project is financed can have a pronounced effect on the ultimate cost to design and construct it, as well as the final scope of work. It also found that financing and project delivery method were highly correlated.  While financing state and federal highway projects is usually via public funding, airports, seaports, and transit agencies as well as transportation agencies at the municipal level have a variety financing instruments that are available and the use of public private partnerships (P3) is increasing in the highway sector. Each financing alternative carries with it a different set of constraints and each constraint creates an impact on the project delivery process. For example a transportation project funded with municipal bonds must be delivered at a cost that does not exceed the bonded amount. Additionally, the financing charges for the bonds themselves become a component of the overall cost to deliver that bit of public infrastructure. Hence, since financing costs are a direct function of time, selecting a project delivery method that accelerates the delivery period can accrue a marked savings in the overall project cost by reducing construction carrying costs. This in turn releases funding for additional infrastructure projects. This effect is more pronounced in public projects with a tangible revenue stream such as toll roads, transit systems, and airport parking structures. Starting the revenue stream as early as possible reduces the period over which the capital investment is amortized and again accrues a benefit through reduced carrying costs.
SHRP 2 R-10also found that the real impact of construction financing is not well understood by the groups that make project delivery method selection decisions for public transportation agencies. Thus, research is needed to articulate the impact of project delivery method on the cost of financing so that the potential benefits and costs can be utilized in the decision-making process. Additionally, the impact of financing constraints on the final scope of work must also be studied to assist decision-makers in identifying projects that are good candidates for alternative financing. The research must also delve into the traditional state and federally funded project delivery methods to identify aspects of those methods where better understanding of the impact of financing on design and construction costs. For example, the traditional design-bid-build progress payment system with retainage clauses forces construction contractor to finance portions of a project using short-term unsecured loans (these current cost about 18% per annum) or through self-financing. The cost of the capital used to make payrolls and pay subcontractors and suppliers (called “carrying costs”) is added to the cost of the construction contract at bid time. Thus, an agency that enforces a mandatory retainage of 10% is forcing the contractor to finance 10% of the project costs and is paying the cost of financing in increased bid costs.
The proposed research will detail the various traditional and alternative financing methods available to public agencies in practice; correlate them with the project characteristics, such as project delivery methods, where they would apply; and quantify the constraints, costs and benefit of each option. The target population will include all modes of transportation and extend into private and semi-private entities that furnish transportation services. It will then evaluate the impact of each financing method in the context of each project delivery method and detail the cost impact of pairing a given finance method with a given project delivery method.  It will also assemble quantitative cost and schedule data from public agencies and develop simple algorithms that can be used by agencies as part of the project delivery method selection process. Finally it will identify and recommend those pairings that appear to produce a minimizing of financing costs.  The proposed research should address the following questions:
·        What are the best practices for financing transportation projects?
·        Are there different financing schemes that only apply to single modes of transportation or specifically formed legal entities?
·        What are the roles of the engineers in selecting a project delivery method for a project whose financing method is fixed?
·        What are the advantages and disadvantages of various financing methods DBB, CMR and DB?
·        What types of projects are good candidates for project delivery with each type of financing scenario?
·        What are the barriers to changing the aspects of current complex project delivery that drive up the cost to finance a project and how can they be surmounted?
IV.  RESEARCH OBJECTIVE
The main research objective is to produce a guide that explains the impact of alternative financing constraints within possible project delivery method decisions on the cost of financing to the engineers that make the project delivery decision. One of the major outcomes of this study is the discovery surmountable barriers to implementation. A second outcome will be a critical analysis of those features of current project delivery that unnecessarily drive up the cost of design and construction. The study will then assemble a set of best practices and conduct a comparative analysis that can be utilized by agencies wishing to implement consideration of financing costs in their transportation project delivery programs. The primary deliverable will be a guide that details the salient research findings and recommendation along with quantitative measures of effectiveness. 
Specific Tasks of the research to accomplish the main objective include:
·          Task 1 – Define the state-of-the-practice in construction financing through a comprehensive literature, the collection and analysis of relevant procurement documents, typical design and construction contracts. Review of enabling legislation and identify barriers to changing procurement requirements that trigger unrecognized financing costs;
·        Task 2 – Survey all state DOTs, transit agencies, airport authorities, and other public transportation agencies to identify the specific traditional and alternative financing practices that are currently used in conjunction with the various project delivery methods and other project delivery characteristics.
·        Task 3 - Select a representative set of case study projects from public transportation agencies with a varied set of construction financing experience that can be studied in depth to identify both best practices and lessons learned;
·        Task 4 - Prepare a research work plan that describes the details of the research methodology and methods for identifying best practices and developing conclusions;
·        Task 5 - Execute the research work plan and prepare an interim research report that articulates the data collection and analysis as well as emerging conclusions, best practices, lessons learned and a proposed outline for the guidebook;
·        Task 6 - Prepare the draft report evaluating the impact on construction financing costs of typical project delivery decisions such as selection of the project delivery method. Incorporate review comments as required and validate the report’s efficacy on a range of US projects.
·        Task 7 - Publish a monograph (20-30 pages) on the impact on construction financing costs of a cross-section of typical complex project delivery decisions and a final research report that details the full results of the research.</t>
  </si>
  <si>
    <t>Best Practices for Sidewalk Maintenance</t>
  </si>
  <si>
    <t xml:space="preserve">http://rns.trb.org/dproject.asp?n=29217 </t>
  </si>
  <si>
    <t>Scope: Sidewalk maintenance practices should be addressed in a TRB synthesis. Given the severely constrained resources facing local governments and related pedestrian safety, accessibility, and liability concerns, many agencies would benefit from a summary of best practices for sidewalk maintenance. Sidewalk maintenance, as defined here, is the function of preserving, repairing and restoring hard-surface sidewalks and keeping them in condition for safe, convenient and accessible use. Maintenance includes repairing surface defects and changes in level, controlling vegetation encroachments as well as snow/ice and debris removal. While major construction or reconstruction activities such as widening a sidewalk to comply with accessibility requirements or adding missing links to sidewalk networks are important for providing safe and convenient conditions for pedestrian travel, they are not defined as maintenance. Similarly, multi-use trails, while an important part of the transportation network, are not considered as sidewalks for purposes of this synthesis. 
Although sidewalks are not subjected to the same “traffic loads” as roads and streets, in some ways maintenance of them is more challenging due to the prevalence of drainage and vegetation issues coupled with accessibility requirements. Additionally, sidewalk systems in many jurisdictions are poorly documented. The situation is complicated by the wide variety of parties responsible for sidewalk construction and maintenance (e.g., state governments, different levels of local jurisdictions, land developers, and private property owners). Many jurisdictions have ordinances or laws addressing sidewalk maintenance. However, the specificity and enforcement of these regulations vary widely.
In spite of these challenges, there are a number of jurisdictions using innovative practices to accomplish high-quality, cost-effective sidewalk maintenance. For example, some communities have initiated cost-sharing arrangements with private property owners or have developed equipment, materials and procedures specifically designed for the sidewalk environment.   Unfortunately, much of the information about these policies, procedures, and equipment is not documented in the published literature. 
The proposed synthesis will identify sidewalk maintenance best practices and present them as a guidebook. The guide would have three main elements: policies, procedures, and legal/risk management considerations. The first element would provide examples and experiences from jurisdictions that have developed effective sidewalk maintenance policies in terms of responsibilities, enforcement, allocation of costs and related issues (e.g., dealing with utilities and private excavators). While the focus will be on United States communities, effective policies from other countries may also be highlighted. Background research should cover policies in New Hampshire that have been implemented following a court ruling that found local government policies requiring abutters to clear adjacent sidewalks were tantamount to an unconstitutional tax. The second element would identify best practices in terms of inspection/monitoring programs, procedures for reporting problems, prioritizing maintenance needs, routine maintenance methods, identification of maintenance requirements for different types of sidewalk surfacing materials, classifying and prioritizing repairs, geographic/climatic differences in sidewalk maintenance, types of equipment used and other issues of this nature. The third element would discuss how agencies address liability issues related to sidewalk maintenance and legal restrictions that may prevent certain types of policies and practices from being employed. 
This synthesis project would be accomplished by a critical review of published literature, an internet search, interviews with individuals from selected governmental entities and professional/technical associations and a survey instrument to be completed by representatives of jurisdictions with experience/information about sidewalk maintenance practices. The review and survey will also identify potential topics for further research where best practices may not have developed, but are needed.</t>
  </si>
  <si>
    <t>Data Sources to Measure Pedestrian and Bicycle Safety in Parking Lots</t>
  </si>
  <si>
    <t xml:space="preserve">http://rns.trb.org/dproject.asp?n=29214 </t>
  </si>
  <si>
    <t>SCOPE:
As an increasing number of communities promote walking and bicycling to improve public health, the environment, and neighborhood livability, there is a need to broaden the understanding of pedestrian and bicycle safety. This includes pedestrian and bicycle safety in parking lot areas.
By design, parking lots are areas with frequent motor vehicle and pedestrian activity. While there are few state or national crash databases available to quantify parking lot conflicts, qualitative assessments recognize parking lots as complex environments with potentially dangerous pedestrian, bicycle, and motor vehicle interactions. Some local jurisdictions, such as Pinellas County, FL, find more than 20% of reported pedestrian crashes are in parking lots. The task of parking requires drivers to look simultaneously for parking spots, other vehicles, and pedestrians and bicyclists. Walking between a building and a parked car often requires carrying packages or pushing a cart. Pedestrians and bicyclists often pass directly behind parked cars, but they can also emerge from between cars and cross vehicle paths at almost any location in the lot. Many pedestrians emerge from parked cars in the lot, but other pedestrians and bicyclists must cross a parking lot to travel to the door of the building from the surrounding neighborhood. Therefore, conflicts may also occur at parking lot entry and exit points. In addition, pedestrians and bicyclists may be injured when they trip on curbs (or other vertical obstacles), slip on debris or slick surfaces, or fall on ice in parking lots.
The U.S. Department of Transportation and state, regional, and local transportation agencies have traditionally relied on State motor vehicle crash data collected by the police for information on events harmful to pedestrians and cyclists. While useful, this data source is restricted to events involving motorized vehicles occurring on public roadways. It excludes 1) many crashes of motorized vehicles with pedestrian and cyclists occurring in non-roadway locations that include parking lots, driveways, and sidewalks and 2) harmful events that do not involve a motorized vehicle (e.g. pedestrian and bicycle falls). In addition, there is ample evidence that many crashes of motorized vehicles with pedestrians or cyclists are not reported in police files.
The objective of this synthesis project is to identify the magnitude of the safety problem for pedestrians and bicyclists in parking lots. There is currently little information available on the frequency or characteristics of automobile, bicycle, and pedestrian crashes that occur in parking lot locations. For example, in the Fatality Analysis Reporting System (FARS) and National Automotive Sampling System (NASS) General Estimates System (GES), a crash occurring in a parking lot will fall under the general “Off Roadway-Location Unknown” category for the attribute “Relation to Trafficway”. Therefore there is a critical need to collect data from other sources about crashes and other incidents involving pedestrians and cyclists in parking lots.
There is little research on pedestrian and bicycle safety on private property and particularly in parking lots. The most comprehensive source of information, including a data collection effort, was published in 1999 (Stutts and Hunter 1999a and b). The results based on hospital emergency data collected at eight hospitals across the US show that 70 % of the reported bicycle injury events and 64% of the reported pedestrian injury events did not involve a motorized vehicle and that 31% of the bicyclists and 53% of the pedestrians were injured in non-roadway locations such as sidewalks, parking lots, or off-road trails. 8% of non-roadway vehicle-pedestrian crashes are in parking lots, and 55% of non-roadway vehicle-bicycle crashes are in parking lots (commercial, residential, or other). For non-roadway events that did not involve motorized vehicles, sidewalk locations predominated for pedestrians (58%), followed by the various categories of parking lots (25%). Sidewalk locations also predominated for bicycle crashes that did not involve motor vehicles (50%). Parking lots represented 7% of these bicycle crashes. No follow up studies could be found. (Stutts and Hunter 1999a) mentions the work done by Walker (1993) who, using police reports on non-traffic injuries provided by the State of Indiana, developed a taxonomy of non-traffic pedestrian-motor vehicle crash types that included driveways, parking lots, alleys, and private streets (the paper is not available). No references were found on the characteristics or causes of pedestrian and bicycle crashes in parking lots.
Given the limited information available, the major effort is to identify data sources and synthesize the available data. This synthesis project will:
    synthesize studies or reports that provide parking lot crash data or interaction and conflict data involving pedestrians and cyclists. The review should include studies relating the pedestrians' and cyclists' access to parking lots and safety, as well parking lot geometry and layout, and the impact of parking policies.
    document the state, province, or local jurisdiction crash databases that include attributes describing whether a crash occurred in a parking lot or on a street.
    explore hospital emergency department reports that describe the location of the incident leading to a pedestrian or cyclist injury, as well as insurance data and tort claims records.
Future studies will analyze the available data, in order to describe the most common types of crashes and conflicts involving pedestrian or cyclists in parking lots. These follow-up studies may also draw upon field studies of conflicts, near misses, and falls in parking lots as well as qualitative surveys or interviews with drivers, pedestrians, and bicyclists to develop a greater understanding of how often they have experienced or witnessed parking lot conflicts or crashes. Ultimately, future research can lead to guidelines or documentation of best practices for safe design and operation of parking lots.</t>
  </si>
  <si>
    <t>AFP40, Physicochemical and Biological Processes in Soils</t>
  </si>
  <si>
    <t>Influence of Physical and Chemical Properties of Aggregates on Mechanical and Hydraulic Performance of Highway Bases</t>
  </si>
  <si>
    <t xml:space="preserve">http://rns.trb.org/dproject.asp?n=29206 </t>
  </si>
  <si>
    <t>Several states are in need for a pragmatic solution for a compelling long-term problem in the State: the evaluation of geomechanical (stiffness and strength) and drainage characteristics of graded aggregate base (GAB) stone delivered at highly variable gradations to the construction sites. GAB is mostly delivered from the quarries, but occasionally recycled crushed GAB produced some manufacturers are also utilized. Millions of tons of GAB are used in construction of highway bases due to its satisfactory mechanical properties. The fines content of GAB can be highly variable and is often related to crushing process in the quarry. The crushing of the stone at the quarry generally does not decrease the mechanical strength and stiffness of the material delivered to the site.   On the other hand, DOTs are experiencing difficulties in achieving proper drainage through the base layers due to occasionally high fines content of the GABs. The manufacturers generally meet the required gradation as specified, that is less than 8% passing No. 200 sieve, but DOTs are concerned whether the gradation and segregation or delivery placement is causing the inadequate permeability. Water in pavement systems is one of the main causes of pavement distress, and it is well known that improved roadway drainage extends the life of a roadway system.   The relatively impervious base-course materials may significantly shorten highway life, and interrupts road service and public safety. Alternative drainage methods, such as geocomposite highway edge drains exist, but proper drainage of highways cannot be achieved if the highway base is clogged.  A research project is needed to study if the drainage capacity of GAB can be increased by limiting the fines content of the materials delivered to the construction site so that extensive benefits can be achieved throughout the life cycle of the project. 
Research Objective
The main objective of this proposed study is to investigate the geomechanical and drainage characteristics of graded aggregate base (GAB) stone with varying fines content. The particular objectives of this proposed work are to (1) define an acceptable zone that includes satisfactory geomechanical and drainage properties for the GAB, and (2) to evaluate the current structural coefficients and, if necessary, provide recommendations for their improvement through resilient modulus, plate load, and permeability tests and numerical modeling.</t>
  </si>
  <si>
    <t>Environmental Impacts of Using High Carbon Fly Ash in Structural Fill Applications</t>
  </si>
  <si>
    <t xml:space="preserve">http://rns.trb.org/dproject.asp?n=29205 </t>
  </si>
  <si>
    <t xml:space="preserve">Over 60% of the electricity generated in Eastern U.S. is produced by coal combustion, with resulting abundant quantities of fly ash as residue. The fly ash occasionally contains significant amounts of unburned carbon (i.e., high loss on ignition) due to the common use of low nitrogen oxide (NOx) burners in recent years. This ash has a carbon content of 12-20%, has no value as a concrete additive, and cannot be efficiently re-burnt by using current technology. Recent data indicate that approximately 68% of this high-carbon fly ash (HCFA) is placed in landfills, thereby consuming valuable land space and creating the potential to impact aquatic resources in various States. Roadways have high potential for large volume use of HCFA. In many cases, these materials can be replaced with suitable HCFAs that are normally disposed of in landfills.
Recent preliminary tests conducted at the FHWA Recycled Materials Resource Center and several research institutions indicate that HCFA may be very effective for stabilizing poor borrow material for structural fill applications (e.g., embankment construction). However, one key issue that precludes soil stabilization with fly ash is the potential for groundwater and other environmental impacts caused by heavy metals in the fly ash. Common metals of concern are cadmium, selenium, chromium, arsenic, and aluminum. Previous research on leaching from fine-grained clayey subgrade soils stabilized with fly ash suggests this problem is unlikely. On the other hand, this environmental aspect requires further scrutiny in case of stabilized borrow materials and granular soils as these soils have lower fines content compared to soil of predominantly fine-grained subgrades; and result in less attenuation and more leaching than that associated with stabilized subgrade soils. Dealing with these issues, and finding ways to reduce risks, is important to enhance the reuse of fly ash.
The environmental risks associated with fly ash stabilization may be reduced when HCFAs are used as a stabilizing agent (e.g., unburned carbon or activated carbon is often used for pollution control). The high organic carbon content of HCFA should act as a sorbent to the heavy metals in the fly ash, and reduce the amount of metals that are released into the environment. Because of enhanced adsorption of metals by the unburned carbon, metal concentrations are likely to decrease to much lower values than the ones experienced with Class F fly ashes. The environmental benefits of the high carbon content may also result in a broader range of permissible reuse applications for fly ash. 
Research Objective
The objective of the proposed study is to evaluate the mechanical performance and leaching potential of borrow materials mixed with HCFAs relative to those stabilized with conventional binders, and to evaluate the potential groundwater impacts. This objective will be met by a combination of geomechanical tests, batch tests, column tests, and computer modeling. </t>
  </si>
  <si>
    <t>Safety Effects of Roadside Mowing Practices</t>
  </si>
  <si>
    <t xml:space="preserve">http://rns.trb.org/dproject.asp?n=28854 </t>
  </si>
  <si>
    <t>I.       RESEARCH PROBLEM STATEMENT
Nationally, as fuel prices trend upward, roadside managers in every state and territory are seeking ways to control the cost of roadside mowing.  Annually, individual states spend millions of dollars mowing roadside turf, collectively estimated to be more than $500 million.  That amount fluctuates unpredictably with the price of fuel. 
Proponents of mowing hypothesize that decreasing the frequency and extent of mowing will increase the number and severity of accidents.  This untested hypothesis generates high frequency and extensive mowing at any cost. Anecdotal evidence contradicts the hypothesis, suggesting that un-mowed (or less-mowed) turf makes travel safer by slowing errant vehicles, making it easier for the driver to regain control while traversing the clear zone.  In addition, many experts believe safety is improved with taller and coarser turf because it is less attractive to foraging wildlife than the short tender green sprouts encouraged by mowing.  Less mowing also reduces the time that highway maintenance workers are exposed to traffic. A final area of concern involves the conspicuity of roadside object.  It is unknown whether allowing roadside vegetation to obscure hazards and/or safety devices has an effect on the overall safety of the roadway.
Beyond the mowing that is necessary to preserve sight distance at intersections, and to prevent vegetation from growing so large to become fixed objects in the clear zones, what is needed is a better understanding of the safety implications of changing mowing frequency, extent, and height. 
III.        RESEARCH OBJECTIVE
Taking into consideration regional climate and turf characteristics, roadway classifications, speeds, and historical crash data, individual state mowing policies and practices should be examined to determine the correlation(s) between safety (crash frequency and severity) and mowing frequency, extent, and height throughout the entire roadside environment. Study results should be presented in a format helpful to state transportation agency officials with responsibility for establishing and carrying out mowing policies procedures, and practices.</t>
  </si>
  <si>
    <t>Survey Methodologies for Motor Carrier Research</t>
  </si>
  <si>
    <t>http://rns.trb.org/dproject.asp?n=28338</t>
  </si>
  <si>
    <t xml:space="preserve">Problem
Surveys use questionnaires or interviews to obtain information from knowledgeable individuals or those affected by a particular issue. In comparison to other research methods such as experimentation or crash data collection, surveys have several advantages. Surveys are relatively easy to create and administer, relatively inexpensive, and they are versatile; one can ask any question on any topic. On the other hand, surveys generate personal opinions and self-reports, not empirical observations. In addition, survey sample representativeness can be extremely problematic. This Research Needs Statement outlines a project to identify improved methods for commercial motor vehicle (CMV) transport surveys. It deals mostly with the issues of motor carrier industry survey validity and representativeness, although these broad concerns encompass sub-issues such as survey design, sampling approaches, response rates, and response bias.
Survey samples can be generated in various ways, depending on project purposes, resources, subject access, and information available on potential subjects. Survey sampling methods include (Walonick, 2010):
    Census study: An entire population meeting some criterion is surveyed; e.g., all trucking firms with &gt; x power units.
    Probability sampling: Sample sizes are determined through formulas whose terms represent the size of the population, the likely distribution of the variables being studied, and the desired error of the estimate. Sub-methods include:
        Random: Each member of the population has an equal and known chance of being selected.
        Systematic: Every Nth record is selected from a list of population members
        Stratified: Random sampling is conducted for homogenous strata of the population.
    Non-probability sampling; e.g.,
        Convenience: using sample easily available to researcher. Per Walonick, “used in exploratory research where the researcher is interested in getting an inexpensive approximation of the truth.”
        Judgment: per Walonick, “a common nonprobability method. The researcher selects the sample based on judgment . . . usually an extension of convenience sampling. For example, a researcher may decide to draw the entire sample from one "representative" city, even though the population includes all cities. When using this method, the researcher must be confident that the chosen sample is truly representative of the entire population.”
        Quota: non-probability equivalent of stratified sampling
        Snowballing: using referrals from initial subjects to acquire additional subjects
A typical CMV transport survey might be intended to document the safety management or other practices of truck and/or bus fleets. Conducting such a survey with the intention of generating a nationally representative survey sample is extremely difficult and problematic, however, for the following reasons:
    There is likely to be no accurate and available delineation of the survey population (i.e., all motor carriers, or all carriers with some defining features). FMCSA maintains the Motor Carrier Management Information System (MCMIS) carrier file, in which all interstate carriers must register. Per an FMCSA official, there are about 1.2 million carrier entries in MCMIS, though only about 500,000 represent active companies. The information in MCMIS is not verified by FMCSA and may be incorrect or out-of-date. On the positive side, the MCMIS files does contain many of the information items one would need to define a survey population and sample. This includes operation type (i.e., for hire vs. private), number of power units, and carrier contact information (including address, phone number, and e-mail address). A MCMIS-based survey would likely require a high level-of-effort and the active participation of FMCSA or its analytic support contractors. Further, survey response rates would likely be very low, for reasons stated below. The Unified Carrier Register (UCF) is similar to MCMIS and contains registration information for carriers in 41 states. The UCF has been suggested as another host for a population-based survey, though the problems involved may be similar.
    Even if a survey population could be delineated, a motor carrier survey sample would need to be huge (and/or carefully stratified) to accommodate all relevant variations in motor carrier characteristics. Truck and bus operations are fundamentally different in many respects, and each is complex in its own right. As recently documented in TRB Circular e-C146 (Trucking 101; an Industry Primer; Burks et al., 2010), the trucking industry is highly segmented. This includes operationally significant variations in freight ownership (i.e., for-hire vs. private), freight type (e.g., general vs. specialized), geographic area (regional, metropolitan vs. inter-city), and average shipment size (truckload down to package pick-up and delivery). 
    Motor carrier survey response rates are stubbornly low because respondents are mostly busy entrepreneurs with little time to spare and no established relationship with research organizations such as TRB. Moreover, motor carrier managers often have limited interest in research, especially when participation involves completing a written form. They may view such surveys as potential threats to confidentiality or as leading to greater regulation and/or stricter enforcement practices.
    Industry trade associations’ memberships may be extremely helpful, but they are inherently biased in relation to their potential member populations. That’s because the more viable and professionally active companies in their sectors or states are those most likely to join. Further, within their memberships, active members are not likely to be representative of all members. Within the active members, survey respondents are unrepresentative because of response bias. Survey respondents are those who are more interested, committed, and articulate. Of course, no one trade association represents the entire motor carrier industry; even a survey involving multiple trade associations would not cover the industry fully or evenly.
The above realities prevent most motor carrier surveys from generating findings meeting scientific criteria for representativeness in relation to respondent populations (e.g., all small North American motor carriers). For example, the TRB Commercial Truck and Bus Safety Synthesis Program (CTBSSP) funds small projects to examine various industry safety issues. At this writing, the CTBSSP has published 18 synthesis reports, almost all with relatively small convenience samples of motor carrier safety managers or others in industry. CTBSSP reports seem to have successfully identified and articulated best carrier practices relating to various safety management issues. However, their use of convenience samples with their associated subject response bias means that they have not generally documented industry- or even segment-wide actual practices. 
For some research programs, the use of convenience samples might not greatly lessen survey value, however.  Relatively small convenience samples may be satisfactory.  When the project purpose is to promote best practices rather than actual practices, the opinions and practices of safety-conscious respondents may be more important and revealing than those of the industry as a whole.  This is not the case when there is a project need for representative data, however.
Representativeness is the most vexing issue facing motor carrier survey projects, but there are others as well (Walonick, 2010; Survey Monkey, 2010).  These issues are relevant to all types of surveys, but need to also be examined in the specific context of CMV transport.  They include:
·         Uses of various survey and related methodologies (e.g., structured interviews, focus groups, stakeholder meetings).
·         Respondent group differences (e.g., managers vs. employees).
·         Survey administration methods (in-person, mail, telephone, online).
·         Pre-notification and cover letters.
·         Time and readability considerations.
·         Types of survey questions.
·         Question design and wording (e.g., avoiding threatening questions).
·         Survey item reliability and validity.
·         Factors affecting response rates (e.g., survey length, cutoff dates).
·         Factors affecting response bias.
·         Use of incentives.
·         Confidentiality assurances.
·         Internal (company) vs. external (e.g., consultant or research organization) surveys.
·         Involvement of stakeholder organizations (e.g., CMV transport trade associations).
·         Analysis issues (e.g., use of Likert scale means, statistical significance).
·         Applicable Office of Management and Budget (OMB) rules and span of authority.  
At a different level, surveys may be used within motor carriers to improve their employee relations and management practices. They afford a means for drivers and other workers to share their concerns and experienced judgment with supervisors, managers, and executives. They are a way to tap the collective knowledge and judgment of all the employees in a company. Behavior-Based Safety (BBS), for example, is an approach to industrial accident reduction which is based in large part on asking workers about specific behaviors most related to safe operations. Another topic which may be addressed by in-company surveys is factors related to driver retention. Asking drivers about company practices they like or dislike can identify strengths as well as “sore spots” in company-driver relationships (Knipling, 2009).   
Objective
This project would review the fundamentals of survey research and ways to improve surveys in the context of the CMV transport industry. This work will frame the problem of obtaining useful motor carrier survey data with recognition of the sampling and other difficulties inherent in this environment. It will encompass surveys of CMV drivers, managers, other carrier officials, and other individuals and groups involved in CMV transport. It will address the full range of survey-related issues including survey design, methods, sampling, response rates, and response bias. Survey sample representativeness will be a particular focus. The project will generate a set of guidelines for maximizing the success and value of various types of surveys and various survey project levels-of-effort. It will touch upon related methodologies such as in-depth case study interviews and focus groups. It will include a chapter advising companies on how to design and conduct internal surveys of their drivers and other employees on company personnel and operational issues. This might include sampling methods applicable to companies such as stratified or spatial sampling. Safety is seen as the primary survey topic area but the same guidelines would apply to other motor carrier industry issues as well. The project might include its own survey(s) of organizations funding and/or conducting CMV transport surveys.  </t>
  </si>
  <si>
    <t>Prediction Methodology for Cyclist Route Choice Using Revealed and Stated Preference Data</t>
  </si>
  <si>
    <t xml:space="preserve">http://rns.trb.org/dproject.asp?n=28137 </t>
  </si>
  <si>
    <t>Problem:  In the last decade, bicycle use in the United States has seen a marked increase. As the use and visibility of bicycling continues to grow, so too does its recognition by policymakers as a credible mode of transport rather than a recreational niche. One need look no further than the current United States Department of Transportation (USDOT) policy that emphasizes equal consideration among modes. At the same time, there remains a relative paucity of quantitative data to inform robust bicycle network and facility planning of the sort that is routinely conducted for other modes.
Factors that influence motorized (auto and transit) route choice are well understood through decades of practice. To support a similar professional consensus for the bicycling mode, there is a need to better understand the unique factors that influence bicyclist route choice (e.g., temperature, weather, topography, time of day, lighting, facility type, traffic intensities, land use context, and many others). Fortunately, many cities and regions have explored this question locally (some for specific bicycle planning purposes, and some with an eye on developing the capability for regional bicycle and pedestrian travel demand modeling). As a result, a significant and growing amount of local data from stated preference surveys of bicyclists is available, as are new types of revealed preference datasets (such as electronic origin and destination data from new bike share systems, MAC address collection from mobile devices, and smartphone “apps” that allow bicyclists to document their travel routes for various trip purposes). This issue is also related to topics currently being studied under NCHRP 08-78 (Estimating Bicycling and Walking for Planning and Project Development).
Objective: The proposed research will canvas the field and summarize the methods and findings from as many local survey and data collection efforts as possible, with an emphasis on North American sources, and aggregate findings across localities for general applicability to inform planning practice and decision making. To accomplish this, the research must:
1)      Undertake an extensive literature review of the findings of prior route choice survey efforts;
2)      Canvas the current state of the practice with regard to electronic revealed preference data for bicycle route choice and planning (smart phone apps, MAC address collection);
3)      Survey bike share system operators to explore the level of origin-destination and routing data that may be available, and collect usage datasets where it is possible to do so;
4)      Prepare a detailed summary of the methods, locations, and findings for each local survey or data collection effort undertaken to date;
5)      Perform a quantitative analysis that generalizes as many local findings as possible, with the aim of developing a toolkit that will enable a robust level of bicycle route choice forecasting to inform planning under a full typology of geographies, climates, and land use contexts.
A key outcome of the research will be a spreadsheet or sketch forecasting tool that will be usable by planning practitioners to inform bicycle network planning and the selection of facilities. The research will also lay the groundwork for the development of a more advanced bicycle travel simulation functionality to be incorporated into regional travel demand models across North America.</t>
  </si>
  <si>
    <t>Methodology for Bicycle Network Analysis</t>
  </si>
  <si>
    <t xml:space="preserve">http://rns.trb.org/dproject.asp?n=28124 </t>
  </si>
  <si>
    <t xml:space="preserve">Problem: Cities around the world have begun to invest in the benefits cycling has to offer their communities, environment and economy. Cycling is being promoted as a healthy, environmentally friendly and economical alternative mode of travel to the automobile. If increasing modal share of cycling is to be successful, this transportation mode needs to become an integrated part of transport planning and modeling.
In a report on Separated Bikeways, sponsored by the Institute of Transportation Engineers (ITE) Pedestrian and Bicycle Council, a significant need for usage of separated bikeways in the United States and Canada has been identified. However, more often than not it is a difficult proposition to provide separate bikeways/bike boulevards to all the existing routes in an urban set-up. Hence, to promote cycling in cities it is necessary to accept that cyclists will use the same or adjacent road-space as the automobiles.
To promote cycling as a major mode of transport, it is important to assess the safety, accessibility and the efficiency of the existing road transport infrastructure from a mode-specific perspective. It is thus required to ‘plan and model’ the urban transport network of a city by treating cycling as a major mode of travel similar to public transport or vehicular traffic.
Objective: The goal of this research is to develop a network analysis methodology for mixed travel including bicycle as a major mode of transport in cities. Currently, much of the discussion of paths for bicyclists in nationally accepted manuals, guides, and reports revolves around “shared use paths” and hence it is absolutely essential to consider bicyclists as a part of network analysis.
In brief the objectives of this research will be,
    Identifying the travel demand of cycling trips between different origin destinations pairs in a city
    Identifying the shortest routes between different origin destinations pairs in a city
    Identifying all possible alternative routes between different origin destinations pairs based on different attributes preferred by individual cyclists
    Developing a cycling network map of the city with all possible routes marked and indexed according to their safety, reliability, travel time, and other attributes 
These objectives will be achieved using the methodology outlined below.
In this study initially, the demand of cycling will be estimated using surveys and existing information regarding journey-to-work trips (e.g., US Census Bureau American Community Survey, National Household Travel Survey). The next step will be to develop an origin-destination framework for the cycling network. The generation and attraction of journeys by bicycle between each origin-destination pair will be established. This eventually will form an origin-destination trip distribution matrix for cycling routes in a city.
The next stage in the project will identify all the existing cycling routes between any origin-destination pairs. The travel time and safety of each of the routes will be quantified and the route with shortest travel time and maximum safety will be identified. The rush hour travel time will be quantified and compared for cycling and other alternative modes of transport between the origin-destination pair. Alternative routes (routes other than the shortest route) will also be indexed for their safety counts and also for other features such as less traffic or more scenic route etc. The research will eventually develop a cycling network map of the city with all possible routes marked and indexed according to their safety, reliability, travel time, and other attributes. This map would provide an invaluable tool to cyclists in terms of journey safety and time efficiency. It would also help to incentivize more commuters to cycle as the most direct and safe routes would already be planned. </t>
  </si>
  <si>
    <t>Construction Equipment Simulators for Training Safe and Efficient Operators</t>
  </si>
  <si>
    <t xml:space="preserve">http://rns.trb.org/dproject.asp?n=27906 </t>
  </si>
  <si>
    <t>Problem Statement
Construction equipment operators use machines to manipulate earth and materials at construction and mining sites by manipulating levers, foot pedals, switches, and joysticks.  Operator training typically consists of operating the physical equipment in a training environment while receiving individualized instruction about performance and machine controls.  Training provides some basic operating experience and allows for familiarization with equipment controls, maneuvering, efficiency, and safety. 
While some vocational schools offer equipment training courses, most training occurs on the job site with instruction from experienced operators who are not familiar with formalized training methods.  Training in this manner is often inconsistent and requires use of the physical equipment, which is expensive due to operating costs and lost productive time.  There is also an increased risk of injury to other workers and damage to surrounding property. 
Recently, the industry has shown an interest in training operators using equipment simulators.  Construction equipment simulators consist of a 3D simulation computer application, virtual display system, and equipment controls.  Simulators are available in full-motion and static formats.  Full-motion simulators include an electric or hydraulic motion platform to replicate the movements experienced during operation, while static simulators do not provide movement.
Simulators present an opportunity to train operators for stressful and tough construction environments.  Operators can quickly and efficiently be introduced to equipment, operation, and machine controls.  The use of simulators saves fuel, equipment wear, and the inherent risks of damage and injury.  Simulation can also provide repetitive training in a safe and controlled environment
Although equipment simulation technologies are currently available, many hurdles remain to be overcome before simulation based operator training can reach its full potential and see widespread use for workforce development.  For example, the wide variability in the format, capability, and cost of currently available simulators should be weighed against the benefits, if any, resulting from training using each.  Additionally, the question regarding the extent skills developed transfer to operating the actual machine must be addressed. 
II.   Research Objectives
The objective of this proposed research is to investigate the effect of simulation based training on construction equipment operators and measure the impact of simulation based training on operator performance.
This research will:
·        examine the rate at which operator skills are developed through full-motion and static simulation-based training; and
·        quantify the difference in field performance between operators trained using actual equipment, full-motion simulation and static simulation. 
It is envisioned that operators trained with simulators of differing formats and with differing capabilities will experience differences in the rate and extent of skill development.  Knowledge of the rate and extent of skill development is required to allow the benefits realized through to be weighed against the costs of providing such training.
The effectiveness of simulation based training, both full motion and static, is best compared to traditional training methods with data regarding the performance of operators receiving each type of training.  Operators must be trained and their performance measured in terms of safety, productivity, and fuel efficiency.
It is envisioned that the proposed research will consists of the following tasks:
·        Review the literature regarding simulation based training of equipment operators
·        Develop training regimens for static and full motion simulation based training of construction equipment operators
·        Provide operators with varying amounts of training and measure their performance with field trials to quantify the rate and extent of skills development
·        Provide traditional on-machine, static simulation, and full motion simulation training to a cadre of operators and periodically and repeatedly measure their performance of actual construction operations in terms of safety, productivity, and fuel efficiency</t>
  </si>
  <si>
    <t>Emerging Rapid Technologies for Characterizing the Cracking Behavior of Asphalt Mix</t>
  </si>
  <si>
    <t xml:space="preserve">http://rns.trb.org/dproject.asp?n=27894 </t>
  </si>
  <si>
    <t xml:space="preserve">I. Problem Statement
With the implementation of the Superpave volumetric mix design method and the use of stiffer binders, the rutting problem that previously troubled many pavement engineers has been significantly minimized.  Recent studies have now indicated that reflection and fatigue cracking has become a top concern for many Departments of Transportation (DOT).   The concern about stiffer more brittle mixes will continue especially with the national push to use  more and more recycled asphalt pavement (RAP) and recycled asphalt shingles (RAS).    Many decades of research have been conducted to develop or identify a practical, simple performance related test for characterizing the cracking behavior of (hot/warm) asphalt mixes which can be used at the mix design stage.   However, despite this effort there is no widely used test used to characterize the cracking behavior of asphalt mixes in terms of reflection cracking, fatigue cracking, and low temperature cracking. 
One study. under the National Cooperation Research Highway Program (NCHRP) 9-19 evaluated five tests  1) dynamic modulus test, 2) indirect tensile creep test, 3) indirect tensile resilient modulus test, 4) indirect tensile fatigue/repeated load test, and 5) indirect tensile strength test.  None of them was found to have good correlation with the observed fatigue cracking in experimental test sections and on in-service roads.  One of the main reasons for the difficulty in developing a cracking test is due to the complex nature of asphalt mixtures and their interactions with the pavement structure, environment, and traffic loading.  Crack propagation itself is a complex phenomena where the crack essentially finds the weakest link in the complex asphalt aggregate combination, with sometime the crack passing through the binder, other times around the aggregates and sometimes even through the aggregate. 
Any test must also be capable of providing fundamental engineering material properties required for pavement structural design and analysis. These material properties and the test itself must also be performance-related.  However, the test must be simple and practical for daily asphalt mix design and material screening.
To address the urgent need and challenges, recent efforts have been made to develop/or identify a cracking test for daily uses.  Recent studies have been conducted with new test procedures such as the overlay tester equipment and semi circular bending equipment and both of these show promise.  However currently there is no national standard procedure as a performance test to evaluate the cracking potential of the hot mix. So, it is time to re-visit and evaluate the emerging test equipment for characterizing the cracking behavior of asphalt mixes.
II. Research Objective
The objective of this research is to develop or identify a cracking test for both daily (hot/warm) asphalt mix design and pavement structural design and analysis.  The test procedure must
a)      be shown to be performance related
b)      have reasonable repeatability
c)      Be rapid enough to be used at the mix design stage
d)     Provide engineering properties that can be used in performance predictions.
It is envisioned that the following tasks should be performed:
Phase I: Identify candidate tests for fatigue and reflection cracking
1.      Literature review to identify/select candidate tests or develop a new test
2.      Feasibility Studies to identify two final candidate tests
a.       Including repeatability
b.      Ability to distinguish known good and poor performers
3.      Phase I report and work plan for Phase II
Phase II: Execute the phase II work plan
4.      Expanded lab test on the cracking tests selected in Phase I
5.      Field validation of cracking tests
6.      Develop and recommend cracking criteria for asphalt mix design and material screening.
7.      Reports </t>
  </si>
  <si>
    <t>Effects of Pedestrian Improvements on Transit Ridership and Customer Satisfaction</t>
  </si>
  <si>
    <t xml:space="preserve">http://rns.trb.org/dproject.asp?n=27843 </t>
  </si>
  <si>
    <t>RESEARCH PROBLEM STATEMENT
How much do specific improvements to the pedestrian environment around transit stops and stations increase walk access mode shares, transit system efficiency, and overall transit usage? In addition, how much do pedestrian improvements increase transit customer satisfaction? A considerable amount of research has looked at the walking behavior of public transit users. The pedestrian environment can affect an individual's decision to walk, as well as tolerable walking distance. In addition, customers demand safe and convenient ways to access transit. Pedestrian improvements can help meet these demands. These pedestrian improvements can include facilities for walking along the roadway (e.g., sidewalks on both sides of streets; adequate sidewalk width to serve pedestrians of all abilities; smooth, level, slip-resistant sidewalk surfaces; buffer space between the roadway and sidewalk), crossing roadways (e.g., accessible pedestrian signals, curb extensions, and median islands), and waiting at transit stops (e.g., benches, shelters, and arrival time information). In addition, with better pedestrian accommodations, more riders may be willing to walk farther than the commonly-assumed 1/4-mile maximum walking distance. Further, systems that have been designed with short distances between stops to account for poor walking conditions may be able to be redesigned to improve service efficiency. Transit agencies and transportation planners need guidance regarding the ability of pedestrian environment changes to impact transit usage and service characteristics. Such guidance would need to account for user characteristics; land use context; the relative cost, convenience, and reliability of transit compared to other modes; personal safety; and even the presence of social marketing campaigns.
OBJECTIVE
The objective of this research is to develop a context-sensitive walking to transit model that would consider the factors mentioned above, in addition to any others deemed important through a review of the relevant literature. With this information, transit providers and planning agencies would be able to identify needs, opportunities, and strategies with respect to transit users and pedestrian infrastructure. Specifically, the project will result in a method or set of guidelines that would allow transit agencies and planners to determine whether pedestrian environment changes could result in increased walk mode access, transit efficiency, transit ridership, and transit customer satisfaction.
RESEARCH PROPOSED
The research approach would be guided by a TCRP advisory committee and involve transit user surveys, non-transit user surveys, objective environmental data collection, and transit system data collection. The following specific research steps are envisioned: 1. Convene a meeting with TCRP advisory committee to review existing practices with respect to transit pedestrian access planning. 2. Survey customers of one or more transit agencies about how far and how often they walk to transit, about their perceptions of pedestrian safety and convenience, and about their overall satisfaction with local transit service. These surveys should be targeted towards users from areas with a significant amount of variation in the pedestrian environment. 3. Survey non-transit users living at different distances from transit stops about why they do not use transit. 4. Collect objective data on the characteristics of the pedestrian environment around transit stops and stations. These data could include measures of pedestrian suitability (e.g., sidewalk coverage and connectivity, roadway crossing difficulty, generalized pedestrian level of service measures) and land use (e.g., population density, employment density, density of commercial retail properties). 5. Collect objective data about transit service, such as headways, transit capacity, transit stop spacing, etc. 6. Collect objective data about competing modes of travel, both as access and primary travel modes. 7. Use statistical modeling to determine how, under differing circumstances, variations in the pedestrian environment impact the choice of whether to use transit and which access mode is used. 8. Compile survey responses and other qualitative data to describe the influence of the pedestrian environment on transit customer satisfaction. 9. Develop recommendations based on research findings.</t>
  </si>
  <si>
    <t>Developing Guidelines to Improve Pedestrian Access to Transit Stops</t>
  </si>
  <si>
    <t xml:space="preserve">http://rns.trb.org/dproject.asp?n=27842 </t>
  </si>
  <si>
    <t xml:space="preserve">RESEARCH PROBLEM STATEMENT
The availability and quality of pedestrian access to transit stops are critical for the use and promotion of transit services. The frequent absence of sidewalks that would provide for pedestrian access to transit stops is well known; however, this “knowledge” is mostly based on experiencing a general lack of sidewalks and not on data, since related data are rarely available. Other pedestrian accommodations, such as transit stop covers, provisions for safe crossing, etc., are also often not available. 
The issues that need to be addressed successfully before physical conditions to access transit stops can be improved include, but are not limited to, collecting data regarding existing conditions, identifying and prioritizing needed improvements, identifying cost-effective solutions, and securing funding.  These pose significant challenges and are further complicated by related ownership arrangements. Most frequently, transit agencies do not have the responsibility or the authority for pedestrian access to transit stops. In addition, transit agencies often operate in several jurisdictions and thus are not even part of the local government organizations where they operate.  Frequently, the local government does not have the ownership of pedestrian facilities either; ownership may belong to the county or the state. This dispersed ownership represents additional barriers to improving physical conditions for transit users.  
Safe and convenient pedestrian access to transit stops is essential to serve transit customers and increase usage. This project will focus on pedestrian access to all types of transit stops, including transit stations, bus stops, and light-rail stops. 
OBJECTIVE
The objective of this project is to identify best practices for improving physical conditions for accessing transit stops. 
Best practices will be provided for the following aspects:
·         how to efficiently collect data regarding existing conditions
·         how to identify and prioritize needed improvements
·         how to develop effective solutions
·         how to secure funding
·         how to deal effectively with dispersed ownership.
RESEARCH PROPOSED
The research approach would be guided by a TCRP advisory committee and involve the following steps:
1.      Review existing practices with respect to improving pedestrian access to and pedestrian conditions at transit stops.
2.      Survey a sample of transit agencies about their knowledge of pedestrian access for transit customers and needed improvements.
3.      Survey key types of government organizations that have responsibility for pedestrian facilities near transit stops about their practices.
4.      Identify and document best practices.
5.      Document case studies that highlight successful efforts to improve access to and conditions at transit stops in five to ten representative communities.
6.      Develop recommendations based on research findings. </t>
  </si>
  <si>
    <t>Improving the Safety of Mid-Block Pedestrian Crossings near Transit Stops</t>
  </si>
  <si>
    <t xml:space="preserve">http://rns.trb.org/dproject.asp?n=27841 </t>
  </si>
  <si>
    <t>RESEARCH PROBLEM STATEMENT Research is needed to document how transit agencies have cooperated with other transportation, planning, and law enforcement agencies to address pedestrian safety at mid-block pedestrian crossings near transit stops. Many existing transit stops are placed in locations where the shortest pedestrian access route involves crossing a busy street at a challenging mid-block location. In addition, many mid-block crossings near transit involve negotiating high-speed, high-volume traffic and are not equipped with adequate infrastructure (e.g., median crossing islands, pedestrian crossing signals, etc.). Finally, because pedestrians are under time pressure to catch buses and trains, they may be more willing to exhibit risky behavior at mid-block crossings near transit stops (e.g., dart into the street without looking for approaching traffic, run diagonally across the street, not check for traffic approaching from all lanes on a multilane street). Poorly-designed mid-block crossings can be a safety risk to all pedestrians, particularly transit customers. Safe and convenient pedestrian access to transit stops is essential for transit customers. This project will focus on mid-block pedestrian crossings near all types of transit stops, including transit stations, bus stops, and light-rail stops. Mid-block crossings are between two roadway intersections. They may include marked crosswalks or unmarked crossing locations. The crossings may be controlled by traffic signals (i.e., a pedestrian crossing signal) or uncontrolled. The most appropriate pedestrian safety treatments for each of these types of crossings may be different depending on the surrounding roadway and land use context. OBJECTIVE This objective of this project is to create a report that documents excellent examples of how transit agencies have partnered with other transportation, planning, and law enforcement organizations to improve mid-block pedestrian crossing conditions near transit stops. It will also provide specific guidance for engineering, education, and enforcement efforts that can be used by transit agencies and other partner organizations to improve pedestrian access and safety in these types of locations. The case study component of this project should provide details about: â€¢ Types of mid-block crossing improvements used near transit stops. A typology would include the type of markings (if any) used to designate the crossing location, signal control, proximity to the transit stop, as well as the characteristics of the roadway (e.g., number of lanes, traffic volume, posted speed limit) and surrounding land uses. â€¢ Changes in levels of customer satisfaction with transit access after mid-block pedestrian crossing improvements. â€¢ Changes in transit ridership before and after mid-block pedestrian crossing improvements near transit stops. â€¢ Changes in the number of pedestrian crashes reported in transit corridors after mid-block pedestrian crossing improvements are made. â€¢ Challenges with implementing mid-block pedestrian crossing improvements near transit stops. RESEARCH PROPOSED The research approach would be guided by a TCRP advisory committee and involve the following steps: 1. Convene a meeting with TCRP advisory committee to review existing practices with respect to mid-block crossing treatments near transit stops. 2. Survey a sample of transit agencies about their perceptions of pedestrian safety and convenience for transit customers and actions that they take to improve mid-block crossings near transit stops. 3. Survey a sample of other transportation, planning, and law enforcement about actions they take to improve mid-block crossings near transit stops. 4. Write case studies that highlight the efforts of transit agencies and other partner organizations to improve mid-block crossings near transit stops in five to ten communities. 5. Develop recommendations based on research findings. ESTIMATE OF THE PROBLEM FUNDING AND RESEARCH PERIOD Recommended Funding: $400,000 Research Period: 24 months URGENCY AND PAYOFF POTENTIAL This synthesis report will increase the awareness of pedestrian access issues and the importance improved pedestrian safety at mid-block crossings near transit stops. In addition, it will provide specific case studies and design guidelines that can be followed by transit agencies and other partner organizations in their own communities. Ultimately, this guide will encourage transit agencies and other transportation, planning, and law enforcement organizations to develop partnerships and create safer mid-block crossing conditions near transit stops. This will make it easier for transit customers to access stops and stations and help transit agencies reduce pedestrian injuries and fatalities. RELATIONSHIP TO FTA STRATEGIC GOALS &amp; POLICY INITIATIVES and TCRP STRATEGIC PRIORITIES 1. Foster Customer-Oriented Public Transportation/Place the Transit Customer First (FTA Vision Strategy 2/TCRP Strategic Priority 1): The proposed research would improve the safety and convenience of pedestrian access to transit for many customers. 2. Maximize a Multimodal Approach to Transportation/Flourish in the Multimodal Environment (FTA Vision Strategy 4/ TCRP Strategic Priority 4): This research would improve the link between walking and public transit. 3. Promote Linkages Between Transit Needs and Community Needs (FTA Vision Strategy 7): This research would result in better transit service, and would enable communities to provide safer access to transit and potentially increase transit ridership. 4. Continuously Improve Public Transportation (TCRP Strategic Priority 3): This project would improve public safety and potential ridership. 5. Revitalize Transit Organizations (TCRP Strategic Priority 5): This research would enable transit agencies to redefine themselves in light of improved information. Safer and more convenient pedestrian access to transit holds the potential to attract choice riders. RELATED RESEARCH In December 2001, CUTR released a report titled: â€œPedestrian Mid-Block Crossing Difficulty.â€ First, the study identified a number of determinants pedestrians considered when choosing to cross mid-block. Such determinants included age, traffic volume, traffic movements, traffic speed, crossing distance, median type/existence and were grouped into four broad categories: personal characteristics, traffic characteristics, roadway characteristics, and signalization timing characteristics. This report then established a quantitative classification of perceived difficulty of each determinant which, through a rigorous statistical analysis, established a level of service measure for pedestrians crossing mid-block. The proposed level of service measures takes a quantitative survey of factors pedestrians of all ages in a multitude of environments and produces the qualitative level of service measures. The pedestrian determinants used as a basis for this model are precisely the factors that may be used when planning a transit or betterment project to determine the desirability or likelihood of crossing mid-block. However, the study did not explore the relationship between transit stop locations and mid-block pedestrian crossing desirability or safety. Another significant source of research on pedestrian behavior at mid-block crossings was conducted through NJIT. The report, completed in June 2003, sought to first identify the characteristics of problematic mid block crossings, considering the factors that caused the dangerous crossing conditions. Once identified, the research developed and analyzed strategies and aides for enhancing pedestrian safety. TCRP Report 112/NCHRP Report 562 (2006), titled â€œImproving Pedestrian Safety at Unsignalized Roadway Crossings,â€ identified geometric design features and traffic control technologies that may improve pedestrian access to transit. This report studied various engineering treatments and their effectiveness in improving pedestrian safety at unsignalized crossings. It highlighted the importance of considering transit stop locations when making pedestrian crossing improvements. TCRP project (A-28) produced a Guidebook for Mitigating Fixed-Route Bus-and-Pedestrian Collisions. While this is a serious issue, cars and light trucks represent a much larger portion of the vehicles involved in pedestrian crashes than buses. To improve pedestrian safety near transit stops and stations, research must focus on safety issues related to pedestrian interactions with all types of vehicles. The FHWA Pedestrian Safety Guide for Transit Agencies emphasized developing partnerships with local transportation agencies and other organizations. However, it provided only limited guidance about specific strategies to improve mid-block crossings near transit stops. A more complete analysis of these types of crossings and more thorough recommendations for engineering, education, and enforcement improvements are needed.</t>
  </si>
  <si>
    <t>Synthesis of Pedestrian Infrastructure Assessment Methods and Tools</t>
  </si>
  <si>
    <t xml:space="preserve">http://rns.trb.org/dproject.asp?n=27840 </t>
  </si>
  <si>
    <t xml:space="preserve">Scope: As awareness of the link between transportation and other disciplines continues to grow, the interest in measuring and evaluating the pedestrian environment will continue to increase. Over the past several years, tools and methods ranging from informal checklists to detailed engineering-level analyses have been developed with the intent of evaluating the walking environment. These methods vary in their purpose, degree of formality, number and types of factors included, data collection processes, and geographic scope. Accordingly, each tool has specific uses, pros and cons, and limitations. However, many transportation professionals are unaware that such tools exist, and furthermore do not have an easy way to determine which tool is appropriate in a given context. This project would document the range of tools and methods in use and establish guidelines as to the appropriateness of each under differing circumstances. Particular attention should be given to data collection requirements, and the relationship between the data and intended uses.
The objective of the synthesis document is to provide a convenient resource that would summarize the most important pedestrian infrastructure assessment methods and tools and to succinctly describe their data requirements. The benefit of the resource is that it would serve as a point of entry into the pedestrian infrastructure assessment/evaluation process, and would allow practitioners to quickly identify an appropriate tool for their needs. Following from the mindset that “what gets measured, gets done”, wider knowledge and application of pedestrian infrastructure assessment methods would cause the needs of pedestrians to be considered more prominently in infrastructure projects. Additionally, planners and designers would be able to more easily incorporate pedestrian facility data requirements into the early stages of a project.
Specific components of the project could include:
·         Literature review of pedestrian infrastructure assessment methods and tools.
·         Description of the appropriate target audience, intended use, pros and cons, data requirements, and limitations of each tool or method.
·         Description of the legal and/or professional aspects of each tool or method (e.g., is the method supported by the relevant professional associations? Does the method play a formal role in transportation decision making?).
·         Brief description of a successful application of each tool or method.
·         Identification of gaps and needs in the overall pedestrian infrastructure assessment toolkit.
The payoff for this project would come in the form of better decision-making related to the pedestrian environment, more efficient project implementation (identifying data needs up-front), and increased utilization of existing tools. To the extent that infrastructure assessment methods may result in an improved pedestrian environment, safety, public health, and environmental benefits would also be realized.   </t>
  </si>
  <si>
    <t>Best Practices for Pedestrian Facility Maintenance</t>
  </si>
  <si>
    <t xml:space="preserve">http://rns.trb.org/dproject.asp?n=27839 </t>
  </si>
  <si>
    <t>Scope: Sidewalk maintenance practices should be addressed in a TRB synthesis. Given the severely constrained resources facing local governments and related pedestrian safety, accessibility, and liability concerns, many agencies would benefit from a summary of best practices for sidewalk maintenance Sidewalk maintenance, as defined here, is the function of preserving, repairing and restoring a sidewalk and keeping it in condition for safe, convenient and accessible use. Maintenance includes repairing surface defects and changes in level as well as snow/ice and debris removal. While major construction or reconstruction activities such as widening a sidewalk to comply with Americans with Disability Act Accessibility Guidelines (ADAAG) requirements or adding missing links to sidewalk networks are important for providing safe and convenient conditions for pedestrian travel, they are not defined as maintenance. Although sidewalks are not subjected to the same "traffic loads" as roads and streets, in some ways maintenance of them is more challenging than maintenance of roads and streets. The situation is complicated by the wide variety of parties responsible for sidewalk construction and maintenance (e.g., state governments, different levels of local jurisdictions, land developers, and private property owners). Many jurisdictions have ordinances or laws addressing sidewalk maintenance. However, the specificity and enforcement of these regulations vary widely. In spite of these challenges, there are a number of jurisdictions that are using innovative practices to accomplish high-quality, cost-effective sidewalk maintenance. For example, some communities have initiated cost-sharing arrangements with private property owners or have developed equipment, materials and procedures specifically designed for the sidewalk environment. Unfortunately, much of the information about these policies, procedures, and equipment is not documented in the published literature. The proposed synthesis will identify sidewalk maintenance best practices and present them as a guidebook. The guide would have two main elements: policies and procedures. The first element would provide examples and experiences from jurisdictions that have developed effective sidewalk maintenance policies in terms of responsibilities, enforcement, allocation of costs and related issues. The second element would identify best practices in terms of inspection and routine maintenance, maintenance needs of different types of sidewalk surfacing materials, geographic differences in sidewalk maintenance, types of equipment used and other issues of this nature. This effort would be accomplished by a critical review of published literature, an internet search, interviews with individuals from selected governmental entities and professional/technical associations and a survey instrument to be completed by representatives of jurisdictions with experience/information about sidewalk maintenance practices. The review and survey will also identify potential topics for further research where best practices may not have developed, but are needed. Information Sources: Association of Pedestrian and Bicycle Professionals American Public Works Association National Local Technical Assistance Program Association</t>
  </si>
  <si>
    <t>ABJ30, Urban Transportation Data and Information Systems</t>
  </si>
  <si>
    <t>Improving Travel Behavior Data for Environmental Vehicle Analyses</t>
  </si>
  <si>
    <t xml:space="preserve">http://rns.trb.org/dproject.asp?n=27379 </t>
  </si>
  <si>
    <t>Problem Statement:
Climate change, energy security and air quality concerns are at the forefront of contemporary challenges in the transportation sector.  High quality travel behavior data provides an important input into the analyses required to address these issues.  Unfortunately, due to organizational silos, data privacy concerns and the high cost of primary data collection, key players often do not have access to the data needed for developing informed solutions to these challenges.  Key players in reducing vehicle environmental footprint include auto manufacturers, electric utility companies, and transportation planning agencies such as State DOTs and MPOs.
·         Automobile researchers and manufacturers need travel behavior data to investigate and develop electrified vehicles such as hybrid and plug-in hybrid electric vehicles (HEVs and PHEVs).  On-road consumer travel profiles help inform design decisions (engine, motor, battery sizing, etc), and allow estimation of fuel savings relative to conventional technologies under “real-world” operation.
·         Utility companies need to understand the electrical grid impact from powering large numbers of electrified vehicles.  Travel behavior data helps them understand the temporal and seasonal variation of this added load on the grid, as well as the potential spatial distribution of recharging stations in order to understand their impact on the transmission system.
·         Travel demand modelers are interested in the vehicle trace, origin to destination and the average speed/travel time across their network.  Air quality analyses within the urban environment and especially in air quality non-attainment areas seek to model temporal and seasonal differences as well as speed and operational characteristics for the vehicles by type on the roadway.
Insufficient coordination currently exists between organizations that have historically collected travel behavior data and the expanded group of data users involved in environmental vehicle R&amp;D.  As a result, the data collectors assume sole responsibility for the significant costs of data collection and for the liability risk of sharing previously collected data for secondary use.  The emerging data users encounter limited access to high resolution data sets, components missing from previous studies that they would have liked to see included, and find themselves faced with the choice between duplicating data collection at considerable cost or making significant assumptions in order to approximate answers to their research questions.
Research Objective:
Develop a framework for better coordinating travel behavior data collection and accessibility across multiple stakeholder groups.  In addition to improving data accessibility, this effort should help improve data collection efficiency and potentially reduce costs.
A few past practices exist, but have been ad-hoc and suffer from a lack of coordination and geographic coverage.  Some of the limited examples include: 
·         Augmenting 2001 National Household Travel Survey (NHTS) vehicle records with DOE/EIA fuel efficiency measures.  In this way, fuel consumption could be linked to specific personal travel trips (trip purpose, time of day, metropolitan area size).
·         Puget Sound Regional Council study in Seattle on electric vehicle/hybrid use.
·         General Motors’ use of survey data from the Los Angeles area for guiding design decisions for electrified vehicles such as the Chevrolet Volt.
·         Adding the Puget Sound Traffic Choices Study (FHWA value pricing) dataset to the Transportation Secure Data Center.
Potential tasks:
·         Stakeholder meeting of the three key players, plus the relevant governmental agencies (DOT/DOE/EPA).
·         Review existing example of travel behavior data applications in electric vehicle/hybrid design and charging station location.
·         Develop full NCHRP problem statement to implement electric/hybrid vehicle planning database, including recommendations on new data collection and/or methods and techniques to integrate multiple data sources, as well as recommendation for developing and implementing a data archive and data access system that the three players can use.</t>
  </si>
  <si>
    <t>Transit Security Systems Lessons Learned</t>
  </si>
  <si>
    <t xml:space="preserve">http://rns.trb.org/dproject.asp?n=27253 </t>
  </si>
  <si>
    <t>Problem
 In 2004, the Federal Transit Administration (FTA) published the Transit Security Design Considerations outlining how transit agencies could benefit from taking a systems approach to designing security systems. Since that time, significant funding has been provided to transit agencies to implement security technologies, but little information on the extent to which these initiatives benefited from an integrated, systems approach has been compiled or disseminated.
Objective
This research will document the experiences of transit authorities in implementing security systems and technologies on bus and rail vehicles, infrastructure components and communications and information systems. The benefits and lessons learned from implementing the guidance contained in the FTA report, Transit Security Design Considerations, will be highlighted, including: system-wide security strategies and architectures, integrated security systems, and a systems approach to designing and implementing security technologies. In addition, the experience and benefits resulting from collaboration among organizations within transit authorities and with external organizations will be documented.</t>
  </si>
  <si>
    <t>Developing Design Criteria for Cost-Effective Multi-Lane Loop Ramp Design</t>
  </si>
  <si>
    <t xml:space="preserve">http://rns.trb.org/dproject.asp?n=27113 </t>
  </si>
  <si>
    <t>I. Research Background
As traffic volumes in most areas continue to grow and right-of-way and available funding to build new infrastructure become limited, more emphasis is placed on adding additional capacity to existing infrastructure or constructing new facilities with higher capacities. Unfortunately, upgrading or replacing such facilities using traditional design solutions is often prohibitively costly or simply cannot be accommodated because of space availability, environmental impacts, or other factors that constrain the design environment.
Interchanges represent the most complex, and hence most challenging instance of these infrastructure needs. At these locations, the implications of difficult or innovative design choices must be carefully and thoroughly understood not only to ensure the mobility goals are achieved, but also that the priority of preserving and enhancing public safety is met. Most commonly, the capacity restriction at interchanges involve ramp connections, and the potential treatment to increase mobility service often involves (1) the construction of a multi-lane loop ramps or (2) the conversion of an existing one-lane loop ramp to a multi-lane loop ramp.
Unfortunately, taking advantage of this potentially very efficient and cost-effective solution to improving interchange capacity is extremely difficult because our knowledge base and the available guidance about the design of multi-lane loop ramp facilities is very limited. Loop ramps, as with other interchange ramp types, do have specific design and operational characteristics that must be considered as part of a ramp system (entry and exit gore areas, ramp proper, and ramp terminal intersection) to produce a safe and efficient design. However, Chapter 10 of AASHTO’s A Policy on Geometric Design of Highways and Streets (2004) (Green Book) provides no guidance on the application and design of multi-lane loop ramps
Moreover, there is little supporting research on design and operational characteristics of one-lane loop ramps let alone two-lane loop ramps. The only known research on one-lane loop ramps relates to accident (crash) experience. This research did not quantify loop ramp geometry. Consequently, there is no definitive accident data associated with one-lane loop ramp design elements. Developing a better understanding of one-lane loop ramp design and operations is an essential first step in any research program that aims to establishing design criteria for multi-lane loop ramps.
II.  Research Objective
Although potential multi-lane loop ramp designs can be “pieced together” using many existing guidelines listed in Chapter 10 (for example, general guidance is given on the design of multi-lane entrance and exit terminals), this type of design does not consider the interaction between the driver, roadway and vehicle that occurs between the elements in the ramp system. This interaction is complex since any ramp system consists of multiple elements where driver workload and focus changes rapidly and the driver must cope in sequence with: the exiting roadway, exit terminal, ramp proper, entrance terminal, and entering roadway – all of which exercise a range of cognitive and physical skills.
New research on driver behavior in multi-lane roundabouts and experiences observed on existing multi-lane loop ramps can be used to research some of the perceptions about drivers traveling side-by-side on a circular section of road. However, this knowledge base is limited and often represents only analogous situations rather than the true multi-lane loop ramp situation. While we can infer findings from studies involving such facilities, a thorough understanding with respect to capacity of the loop ramps, the downstream roadway capacity past the ramp terminal, operations, safety, geometry, construction considerations, capital cost, and human factors is needed so that informed and defensible design decisions regarding the use and design of multi-lane loop ramps may be made.
The research objective is two fold. First, to establish more definitive design criteria for one-lane loop ramps incorporating the exit, ramp proper and entrance. Secondly, to provide guidance on the proper planning and location of multi-lane loop ramps and to expand the profession’s knowledge and understanding of the design of multi-lane loop ramps with respect to geometry, operations, and safety. A final report should include proposed changes to AASHTO Policy if results support a change.
Research tasks may include:
Phase 1
·         Conduct literature search and state-of-the-art review.
·         Conduct survey of US and State DOT experience.
·         Identify the various types of loop ramp connections and configurations and their unique design challenges.
·         Identify need for additional research and select sites for data collection.
·         Identify potential micro-simulation software for calibration and subsequent use in assessing capacity and operational considerations
·         Prepare interim report.
      Phase 2
·         Collect additional data at selected sites identified in Phase 1.
·         Simulate various design alternatives to study the operation of one- and multi-lane loop ramps using appropriate micro-simulation software.
                 Phase 3
·         Prepare a final report documenting all aspects of the research.
·         Develop draft material for inclusion in AASHTO’s, A Policy on Geometric Design of Highways and Streets.</t>
  </si>
  <si>
    <t>Effective Allocation of Available Freeway Travel Lane and Shoulder Widths</t>
  </si>
  <si>
    <t xml:space="preserve">http://rns.trb.org/dproject.asp?n=27105 </t>
  </si>
  <si>
    <t>Research Problem Statement
Highway designers are under increasing pressure to maximize the use of available right-of-way in freeway corridors to provide safety, mobility, and capacity for growing traffic demand. With right-of-way limitations, increased use of context sensitive designs, and implementation of managed facilities (i.e., HOV, HOT, or TOTL), designers must maximize the use of freeway cross sections. While freeway cross section design guidance suggests that 12-foot lanes with 8- to 10-foot inside and outside shoulders is ideal, there is limited research findings on how deviations from these ideals individually, or in combination, will effect freeway operations and safety. Highway designers need guidance on the operational and safety impacts for cross section design trade-offs while trying to balance corridor capacity, project costs, public involvement, and environmental impacts.
In addition, there is concern over the part-time use of existing shoulders as HOV, HOT or general use facilities during peak hour. The trade-offs between operational benefits and safety need to be quantified. Further, the safety implications of violators using the shoulder during the off-peak period need to be quantified. Does this changed view of the shoulder as part of the drivable alignment also transfer to shoulder violation on adjacent facilities? The signing and striping of these shoulders for clear communication of the changed cross section use must also be quantified.
Shoulders are often used as the separation between special use lanes and the general purpose lanes. The impacts of providing or not providing barrier separation need to be determined. Further, when barriers are used, what shoulder widths are necessary adjacent to the barrier and what safety impacts result from these shoulder widths is a concern.  
Research Objective
The objective of the research is to provide quantitative safety and operational outcomes for use of shoulder widths of zero to 12 feet (possible up to 14 feet for shoulders used as buffer separation for special purpose lanes) and lane widths of 10 to 12 feet (possibly up to 14 feet for special purpose lanes). The research should also quantify the impact of using these shoulder and lane widths in combination. The focus of the research should also be on existing facilities that would be rehabilitated or reconstructed. As part of this retrofit, the impact of choices of lane widths, inside and outside shoulder widths must be quantified to allow for the safest and most efficient reuse of the available cross-section width. The application of current standards to new facilities is less interesting.
Another objective of the research is to develop a tool for designers to assess the cross section design trade-offs. Existing simulation models do not properly address the issues that are requested to be investigated. Thus, a simulation model or recalibration of existing models should be accomplished based on field observations as part of this research to create a user tool for cross-section analysis.</t>
  </si>
  <si>
    <t>ADC40, Transportation-Related Noise and Vibration</t>
  </si>
  <si>
    <t>Aircraft Noise Health Effects Study</t>
  </si>
  <si>
    <t xml:space="preserve">http://rns.trb.org/dproject.asp?n=26923 </t>
  </si>
  <si>
    <t>Problem Statement
There has been a steadily increasing concern over the past two decades about the adverse effects of exposure to transportation noise on the health of exposed populations. The magnitude of these effects has not been fully determined nor have the cost of the effects. Most of the concern has focused primarily on potential cardiovascular effects (e.g., hypertension, myocardial infarctions, and arrhythmia) and immune system deficiencies. In addition, exposure to transportation noise and the existence of any of these medical problems may predispose individuals to a higher level of susceptibility to adverse physiological effects from other stressors, including exposure to occupational noise, other environmental noises, and non-noise stressors. All of these concerns have been well documented in the scientific literature, mainly from studies conducted in Europe, and in the proceedings of various international scientific conferences, such as those sponsored by the International Congress on Biological Effects of Noise and the International Congress on Acoustics. The recent WHO document, "Guidelines for Community Noise (WHO 2000), also reported serious concern about the possibility of adverse effects of community noise exposure on human health and strongly recommended reductions in exposure to community noise, especially in or near large cities.
Proposed Research
The current project would develop the detailed methodology for a prospective epidemiological field study of aircraft noise health effects. Although various possible adverse health effects and different transportation noise sources can be studied using a variety of research designs, the recommended approach is to conduct prospective epidemiological study (i.e., a longitudinal field study) of possible cardiovascular effects due to exposure to high levels of aircraft noise. It is recommended that two groups of people living around major metropolitan airports (the exposed groups) and two control populations (the nonexposed control groups) be selected for inclusion in this study. It will be important to select the exposed and control groups so that there are differences in their aircraft noise-exposure levels, but that the total exposure to nonaircraft noise sources should be fairly similar. There should be at least a 20 dB day-night average noise level (DNL) difference in the total annual aircraft noise exposure between the exposed and control groups, and less than a 5 dB DNL difference in exposure to other noise sources for these groups. Also, the subjects would need to be exposed to only the exposure levels that occur naturally in their environment to adequately protect the exposed subjects; that is, only casual exposure can be used, with no purposeful additional exposures being added during the study. Finally, expert epidemiologists would need to agree on the set of potential confounding personal ethnographic variables, which would need to be controlled through proper subject selection procedures. Examples of such variables include age, sex, health habits such as smoking, and existing physical conditions such as obesity.
The subjects in this study should be followed for approximately 10 years, with annual physical examinations and health questionnaires. The data collected each year would be analyzed and interim reports published. At the end of the field study, reports on the study conclusions would be published and the noise policy implications of the findings would be discussed in a series of national forums.</t>
  </si>
  <si>
    <t>Managed Lanes Planning and Design Guidance</t>
  </si>
  <si>
    <t xml:space="preserve">http://rns.trb.org/dproject.asp?n=26732 </t>
  </si>
  <si>
    <t xml:space="preserve">Problem Statement:  The reality of improving the transportation infrastructure today is that agencies must consider the environment in the planning of transportation projects; minimize the negative impacts of construction; and work to reduce transportation-related pollution in the process – all within the economic reality of budget constraints and funding shortfalls.  Managed lanes projects have the potential to improve mobility while reducing the increase in pollution and minimizing the impact on the environment.  Also, certain types of managed lanes projects may lend themselves to alternative funding strategies to help reduce financial constraints and allow projects to be completed sooner than under traditional funding schemes. 
Managed lanes are defined as highway facilities or a set of lanes where operational strategies are proactively implemented and managed in response to changing conditions. Potential lane management strategies that fall within this broad definition include pricing (e.g. tolls, value pricing), vehicle eligibility (e.g. HOV, truck lanes), access control (e.g. express or reversible lanes), or a combination of these strategies. As a concept, managed lanes provide a holistic approach based upon flexible operating strategies and the active management of both the facility and travel demand to improve or maintain system performance.  The distinction between managed lanes and other traditional forms of freeway lane management is the operating philosophy of “active management”.  Under this philosophy, the operating agency proactively manages demand and available capacity on the facility by applying new strategies or modifying existing ones. The agency defines from the outset the overall goals and operating objectives for the managed lanes and the kinds of actions that will be taken once pre-defined performance thresholds are met. 
Currently, over 30 different managed lanes projects are either under construction or being planned across the country.  Each of these facilities is unique and presents issues and challenges that the operating agency must face prior to opening day.  A need exists to apply best practices and design guidelines to managed lanes much like those that exist for general-purpose freeway operations and design and for more traditional HOV facilities.  Technical guidance is needed to provide leadership on the planning, design, and operation of managed lanes so that these facilities can be implemented with the highest probability of success.
Research Objective:  The proposed project would develop a national technical guidance document to provide practitioners with critical information on appropriate planning, design, and operational specifics for the more complex freeway managed lanes strategies, either separately or in combination.  The intent will be to allow practitioners to identify the operational concept, requirements, and other special needs associated with the planning for and design of more advanced pricing, eligibility, and access control strategies and their implementation for flexible operations and active system management. It will then identify operational and design issues associated with meeting these requirements different environmental conditions (e.g. type of network, urban characteristics, levels of congestion, available right of way) and develop a technical guidance on approaches to overcome them. The expected deliverable will be a national technical guidance document that can serve as a critical resource for transportation professionals on the subject.  It will complement that information provided in other resources but reduce the need for referring to multiple documents for clear direction on planning, designing, and operating managed lanes facilities.
At a minimum, the technical guidance should address the following:
¨      Introduction
¨      Operational Concept and Requirements
¨      Planning for Managed Lanes
¨      Design of Managed Lanes Facilities
¨       Operating and Enforcing Managed Lanes Facilities
¨      Evaluating Managed Lanes Facility Performance
¨      Institutional Issues for Managed Lanes </t>
  </si>
  <si>
    <t>AR070, Railroad Operational Safety</t>
  </si>
  <si>
    <t>Identify Effective Interventions that Prevent Injuries Related to Switching Activities</t>
  </si>
  <si>
    <t xml:space="preserve">http://rns.trb.org/dproject.asp?n=26368 </t>
  </si>
  <si>
    <t>Switching operations in railroad yards account for the majority of employee on duty fatalities and injuries.
Between 1998 and 2007 human factors related incidents accounted for 38% of railway incidents leading to injuries [FRA 2005].  The Federal Railroad Administration (FRA) identified the following factors as most frequent contributors to these incidents between 2001 and 2004:
     Improper line switches (track switches not fully aligned during car movement) (16%) [FRA 2005].  
     In 2003, the FRA determined that 63% of employees fatally injured in struck-by incidents were involved in switching activities [FRA 2006].
     Shoving movement (pushing rail cars with the engine)(15%).
     Rail cars left in places that obstruct train movements on an adjacent track (4%) [FRA 2005].
The Switching Operations and Fatality Analysis (SOFA) report made recommendations for countermeasures in the late 1990's.  Did implementation of SOFA recommendation reduce fatalities and injuries? Are the same factors identified in the original and supplemental SOFA report still present?  If the SOFA measures are still in place, why are rates going up? Are the same factors responsible for both fatalities and injuries?  Root cause information that would permit identification of all causal factors is lacking leading to the objective below.
OBJECTIVE
1.Review accident/injury data to characterize nature and circumstances.
1.Conduct a prospective study of yard incidents to identify root cause.
2.Review effectiveness of SOFA recommendations. 
3.Identify additional measures implemented by industry and their effectiveness.
RESEARCH PROPOSED
Review FRA fatality and injury data, characterize the nature, source, and read narratives to determine circumstances. Code incidents based upon categories such as equipment failure, safety device failure, or safety measure failure. Review and analyze the SOFA process and recommendations.  Determine trends in recommendations and provide a summary report.  Identify possible areas of improvement for the SOFA process.  Identify additional measures implemented by industry to prevent injuries and fatalities in switching activities and report their effectiveness.  Develop a report to summarize the findings from this analysis.
Conduct a prospective study of yard incidents to identify root cause. Work with two companies review existing injury and fatality data to establish a baseline of incidents and determine common causes. Develop an intervention to reduce the incidents based upon this analysis. Develop an exposure measurement tool to determine the effectiveness of the interventions based upon a method of measurement other than injuries or fatalities. Implement the intervention and evaluate the effectiveness. Develop a report to summarize the findings from the evaluation as well as the intervention implementation and evaluation process.</t>
  </si>
  <si>
    <t>Using Human Performance Models to Improve Railroad Safety and Performance</t>
  </si>
  <si>
    <t xml:space="preserve">http://rns.trb.org/dproject.asp?n=26367 </t>
  </si>
  <si>
    <t>Today, in models like fault tree analysis, functions performed by humans are just treated the same way as functions performed by technical objects. Although it is possible to state human failure rates, human failure behavior is different from technical failure behavior. All the equations in fault tree analysis are based on the assumption that failure rates follow a stochastic distribution function. We know that this assumption is true for technical failures, at least at the static level of the middle part of the “bath tube” curve. However, nobody knows about the distribution function of human failure rates. We just know the failure rates that be measured. One may assume that it is some kind of a hyper stochastic distribution, but up to now, nobody knows for sure. Thus, all fault tree analysis containing human failure rates is incorrect. We just do it this way because we have no better solution. What we need is a mathematical model that allows us to describe human failure behavior in a correct or at least in a more appropriate way.
How can we apply the currently developed human performance models for use in railroad operations to enhance safety through reduction in human error and enhancing effective performance?
Understanding complex human performance is becoming increasingly more important in identifying opportunities for safety improvement both within the railroad operational environment and with the safety regulator.  As an example, under section 403a and b of the Railroad Safety Improvement Act, track inspection time study, how fast and what size territory can inspectors go over in a day to complete a proper inspection. To answer this question it is necessary to understand human perception, decision making, distraction and fatigue, among other variables. Information on these particular variables is well researched, but has yet to be applied practically within the railroad industry to a problem like track inspection.
OBJECTIVE
The objective of this research is to develop, test, and evaluate human performance models as they as they apply to improving safety, employee health, efficiency, and system reliability.
RESEARCH PROPOSED
A number of human performance models have been developed, though primarily for military applications. The railroad industry is likely to benefit from the development and tailoring of these models to inform its particular data needs. The proposed research would identify areas in which these models could be applied, models currently developed, and the translation and testing of these models to address those areas.
Specific activities to include:
·         Document and benchmark /current use and development for human performance models in railroad and other operational environments. For example, MANPRINT, MicroSAINT, CHI Systems, etc.
·         Assess the needs and future (potential) uses of human performance models alone and integrated with other boutique models like those that predict fatigue.
·         Perform a gap analysis between current usage of models and required need
·         Develop or tailor human performance models to address data needs
·         Perform an operational demonstration and evaluation of human performance models</t>
  </si>
  <si>
    <t>AFB40, Landscape and Environmental Design</t>
  </si>
  <si>
    <t>Context Sensitive Design to Influence Operating Speeds</t>
  </si>
  <si>
    <t>http://rns.trb.org/dproject.asp?n=26040</t>
  </si>
  <si>
    <t>I.RESEARCH PROBLEM STATEMENT
Inappropriate speed is one of the primary safety hazards facing highway users.
Most road agencies attempt to achieve the right operating speed among drivers by imposing speed limits. Unfortunately several national and international studies have shown that the speed limit is very much violated, and at best serves only as a guide to drivers. The ability to influence vehicle speeds through the selection of the characteristics of the roadway and of the adjacent environment could be a boost to improving safety on our roadways. For several years now, this specific topic of investigation has also been identified as a very high priority research need by the Transportation Research Board (TRB) AFB50T (joint committee) Context Sensitive Design &amp; Solutions Task Force; by TRB’s AFB40 Landscape and Environmental Design Committee; and in TRB sponsored CSS Research Needs Workshops that attract a broad range of disciplines and stakeholder perspectives in transportation.     
It is a compelling transportation challenge and public interest to reinforce and achieve improved and more desirable driver and interrelated modal behaviors, safety, and performance along our nation’s roadways and in a “substantive” and context sensitive manner. Greater predictability, success, and cost-effectiveness will require a more comprehensive understanding of the contextual circumstances and the specific combinations of roadway and roadside attributes that can contribute to improved and “substantive” (actual) driver and interrelated modal behaviors and safety performance through a better informed approach to our considerations and applications of flexibility in transportation planning and design.
Contrary to conventional assumptions and approaches that seek to advance roadway safety, there is a limited and less-known, but growing, body of international research and project case studies that correlate roadway and roadside attributes, combinations, and variables with less-understood improvements in driver and interrelated modal behaviors, safety, and performance … along with many other social, environmental and economic benefits associated with CSS. Unfortunately, many of the contemporary investigators, who have contributed to this limited, less-known, and less-understood body of research, will tell you that this area of inquiry has not been emphasized, supported, or funded adequately to date. Consequently, the follow-up research has not been advanced or pursued widely or rigorously enough to address the gaps and limitations or inadequacies revealed through previous investigations. To adequately inform flexibility in transportation planning, design, and decision-making in this regard, additional research methodologies and data are needed to definitively correlate specific contextual circumstances and combinations of roadway and roadside attributes with CSS and “substantively” improved safety performance.
II.            RESEARCH OBJECTIVE
The objective of this research is to determine the interaction of the design elements and the context-related elements that influence drivers' perceptions of appropriate operating speeds, establish the dimension and complexity of these influences and, ultimately, design harmonised “roadscapes”, in terms of new realisations but also in regards to strategic (re)qualification projects. The research, therefore, aims to investigate driver behavior in different roadway, road-side and environmental contexts in order to have a better understanding of the interaction of design elements and drivers' perceptions and responses. After a monitoring study (Work Package1) experiments will be carried out by means of virtual reality scenarios images (WP2) and driving simulator experiments (WP3 and WP4). Virtual scenarios images will be used in order to investigate drivers' roadway-environment comprehension and the consequent perceptions of risk, which rate discomfort of the different scenarios. Driving simulator experiments will be used in order to investigate drivers' speed behavior in different scenarios corresponding to the road environment of existing infrastructures and to a selected gamma of different design options. Finally, selected design features will be implemented and monitored in real world (WP5) and the out-coming Context-Sensitive Design Guidelines (C-SDG) will be edited (WP6).</t>
  </si>
  <si>
    <t>Analysis of Synergies between Transit, Land Use, and Pricing Strategies to Reduce Greenhouse Gas Emissions</t>
  </si>
  <si>
    <t xml:space="preserve">http://rns.trb.org/dproject.asp?n=25878 </t>
  </si>
  <si>
    <t xml:space="preserve">Problem
Evidence suggests that there are synergies between transit, land use, and pricing strategies that enhance the greenhouse gas (GHG) reduction effect of each when implemented together.  However, more detailed information on the magnitude and characteristics of these synergies is not available.  Research in this area would help local and state governments, metropolitan planning organizations, transit agencies, and others estimate the potential GHG reduction impacts of pursuing such strategies in conjunction with one another.
Objective
The objective of the research is to examine interactions between transit, land use, and pricing strategies. The types of questions to answer include:
    What is the magnitude of the synergistic effects? What are the co-benefits?
    What is the impact of pursuing strategies jointly on the cost-effectiveness of the strategies?
    What do case studies of metropolitan areas implementing strategies jointly teach us?
    How can strategies combine to make travel alternatives competitive with driving?
    How can these strategies be best implemented in an economic downturn with tight budgets?
    Can pricing strategies cover the costs of transit investments? Who pays and who benefits? How are public agency budgets affected and how are household budgets affected?
    What are the operational implications of pursuing transit oriented development without funding available to expand transit service to meet increased demand?
    How do different types of transit modes, such as bus, bus-rapid-transit, and rail impact the outcomes from these combined strategies?
    Are there thresholds that can be reached at which costs decrease (for instance, levels of regional accessibility at which households can conveniently reduce automobile ownership). At which residential and employment density levels are different types of transit service more cost-effective? 
    What variations of strategies are most appropriate for different types of communities? </t>
  </si>
  <si>
    <t>Improved Modal Operating Profiles for Comparisons with Transit</t>
  </si>
  <si>
    <t xml:space="preserve">http://rns.trb.org/dproject.asp?n=25877 </t>
  </si>
  <si>
    <t>Problem
There would be value in discerning a realistic auto operating context/profile to use in comparison with transit travel. We tend to compare mean characteristics of the modes when it comes to energy and climate analysis, and yet we know quite a bit about the context for the typical transit trip. In simple terms, this might give us a better profile reflecting temporal and geographic distribution of transit travel in urban areas and identifying the probable auto operating performance in the same context for comparison purposes.
The transit network is less dense and hence more circuitous than the roadway network, depending upon the density and design of the transit network. Thus, a transit trip between a given origin destination is likely to be somewhat longer than the roadway trip. At the same time, an auto trip may involve search for parking spaces or an alternative destination which could add to its emissions. In addition, a transit trip is more likely to occur in a dense urban environment and during peak travel periods when auto performance would be more likely to be compromised by stop and go travel. These differences should be factored into comparisons between modes. There has been little analysis to calculate comparative efficiency measures as a function of such things as roadway or transit network density comparisons and geographic and temporal travel locations. Thus, this analysis would likely lead to some adjustment in the relative model efficiencies and could provide more precise information for specific project or corridor level analyses.
A related element would be to explore the mileage by mode for non-service uses. This is easily determined within transit as deadhead miles for getting vehicles to and from service and for use in training and other purposes. For auto travel there may be value in exploring the availability of data to support estimates of the amount of mileage for supportive actions like trips exclusively for fuel or maintenance or vehicle support functions. 
Objective:
The objective of this project would be to develop realistic operational profiles of travel by alternative modes between the same origin and destination. Such profiles should take into account indirectness of the trip, access characteristics as well as the actual travel portion of the trip.</t>
  </si>
  <si>
    <t>Assessment of Potential Emissions Reductions from Linear Motor Systems</t>
  </si>
  <si>
    <t xml:space="preserve">http://rns.trb.org/dproject.asp?n=25854 </t>
  </si>
  <si>
    <t>Problem
Current surface transportation systems depend on century-old internal-combustion technology that produces millions of tons of GHG's and other emissions annually. Highway vehicles produce emissions while idling in traffic and in "drive-thru" windows; aircraft produce emissions while taxiing and during takeoff/landing; and most trains in the U.S. produce emissions on unpowered railways. These emissions could be eliminated through deployment of existing, linear-motor technology.
Objective
Research would provide a comprehensive assessment of potential emissions reductions from deployment of linear-motor transportations systems for highway, train, and aircraft:
·      For highways, linear motor stators could be buried in one or more lanes, and existing vehicles could be retrofitted with aluminum plates;
·      Electric vehicles could be afforded essentially unlimited range and recharge while in transit
·      For aircraft, linear motors in taxiways would eliminate need to burn jet fuel during taxiing; aircraft could be retrofitted with retractable aluminum plates or, alternatively, linear motor-propelled taxi vehicles could be used.
·      If incorporated into runways, linear motors could provide takeoff and landing assist to reduce fuel consumption and emissions, with added benefits of regenerative braking and  noise reduction.
·      For trains, linear motors could be installed in railways to reduce fuel consumption and emissions in yards, as well as for long-distance travel.
Assessment must include estimates regarding continued increased deployment of renewable power generation, and distributed-grid systems that could be utilized by linear motor systems.</t>
  </si>
  <si>
    <t>Investigating School Bus Driver Distraction</t>
  </si>
  <si>
    <t xml:space="preserve">http://rns.trb.org/dproject.asp?n=25341 </t>
  </si>
  <si>
    <t>Problem
In 2006, there were 299 buses involved in fatal crashes and approximately 11,000 buses involved in crashes that resulted in injuries in the U.S. (NHTSA, 2007). Of the 299 fatal crashes reported above, 116 involved school buses, 32 involved cross-country/intercity buses, 103 involved transit buses, and 48 were other or unknown. While these crashes are often attributed commonly reported causes (e.g., weather, road conditions, and driver error), more research is needed to understand the role of driver distraction created by these vehicles’ passengers. This phenomenon is especially important in the national’s expansive network of pupil transportation. Jim Ellis, Director of Research &amp; Instructional Design at the Pupil Transportation Safety Institute, stated that “driver distraction because of on-board behavior problems is one of the most common causes of school bus accidents and fatalities” (Ellis, 2009). A recent school bus safety survey conducted by Wiegand, et al. (2010), supported this notion with 93% of the respondents indicating that student passengers’ behavior was distracting to the driver. According to Streff and Spradlin (2000), nearly all research on inattention and distraction has produced the same general conclusion. “Crashes can be avoided to the extent that drivers attend to stimuli that are important for driving (p.4).” Furthermore, crashes can become more prevalent as drivers fail to attend properly to stimuli because of abrupt distractions (Streff and Spradlin, 2000). Therefore, school bus crashes can supposedly be reduced by identifying and minimizing the sources of school bus driver distraction (including student passenger behavior).
Objective
The purpose of this study would be to collect naturalistic, real-time data of school bus drivers performing their normal driving tasks during bus routes. This data would be thoroughly analyzed to determine distraction sources experienced by these bus drivers and their association with the occurrence of safety-critical events (i.e., crashes, near-crashes, and crash-relevant conflicts).</t>
  </si>
  <si>
    <t>ABE30, Transportation Issues in Major U.S. Cities</t>
  </si>
  <si>
    <t>Major Cities' Adaptation to Global Climate Change</t>
  </si>
  <si>
    <t xml:space="preserve">http://rns.trb.org/dproject.asp?n=25168 </t>
  </si>
  <si>
    <t>SUMMARY
Major cities contain critical multi-modal infrastructure for both the movement of people and goods including some of the oldest systems still operated in the U.S. Climate change impacts such as rising sea level, increased storm intensity and increased heat could cause unprecedented disruption to major facilities and economic systems. This research would respond to questions such as assessing risk by region and system characteristics, considering potential adaptation strategies and their impact on economic and social well being. (TRB critical issue: Energy and Environment)
OBJECTIVE
The purpose of this research is to provide relevant approaches for relocating, redesigning, or hardening transportation systems and structures given anticipated long-term climate changes for the unique needs of transportation in major cities.
RESEARCH PROPOSED
Generalized work on adaption issues has been conducted for highways, transit, ports, and other modal facilities. This research project would take the generalized information and apply them to the unique circumstances of major cities. The work would be multimodal and consider the difficulty of working in a highly constrained physical environment comprised of multiple legacy systems. The research would consider the interaction and impact of non-transportation infrastructure and private development on transportation adaption options. The research would cover issues of reconstruction along with questions about changes in operational and maintenance regimes based on adaptation needs.</t>
  </si>
  <si>
    <t>Public Transit Parking: Meeting Transit Agency Policies, Community Planning Goals and Neighborhood Concerns</t>
  </si>
  <si>
    <t xml:space="preserve">http://rns.trb.org/dproject.asp?n=24849 </t>
  </si>
  <si>
    <t>RESEARCH PROBLEM STATEMENT
Transit agencies strive to maintain and increase ridership through a variety of marketing techniques and physical improvements. Key support elements in the expansion of transit ridership are the availability and amount of commuter parking (surface or structured lots), the parking policies of the transit agency (free, daily fee or monthly spaces) and the ability of users to easily access the station area and designated parking areas. Parking policies and development/design issues and the different perspectives of operating agencies and local governments often result in the potential for conflicts, controversy and implementation delay. 
·         Transit agency staff must often respond to negative reactions by local officials and residents (whether real or perceived) to new or expanded commuter parking facilities, in terms of off-site impacts (such as, induced neighborhood traffic and safety or nuisance concerns) and community aesthetics.
·         At the same time, land use and community planners, transit agencies and the development community, often have conflicting goals for parking. One approach for the station area is to promote transit-oriented development and neo-traditional (New Urbanist) community design: creating a mixed use, walk-to environment that minimizes driving and extensive parking areas. The other may be to provide maximum commuter parking to support transit’s ridership and revenue goals or to fulfill the financing requirements of lending institutions.
·         Related to these concerns are the issues of parking standards, development controls and parking facility design; which are evolving due to smaller cars, use of shared vehicles and greater community design sensitivity.
OBJECTIVE
Evaluate rail, bus and transit systems and stations in a sample of community settings to determine:
(1) the role and impacts of commuter parking, in terms of traffic generation, transit access and transit ridership; and
(2) the role and interactive effects of commuter parking on and by different community densities and development patterns.
RESEARCH PROPOSED
The research would include:
·         Phase 1 - Literature Review with Summary of Previous Studies and Best Practices, focusing on practice in the United States.
·         Phase 2 - Evaluation of Commuter Parking Outcomes (both land use and travel behavior) of a sample of implemented commuter parking projects in urban, central business district, suburban and rural settings.
·         Phase 3 - Assessment of Findings and Recommendations, including supportive policies, design features and actions that could enhance the potential land use and travel behavior benefits of commuter parking areas, in support of transit systems and as “good neighbors” in a community setting, including illustrative case studies.
·         Phase 4 - Final Report with an Executive Summary suitable for use by local officials and the public.</t>
  </si>
  <si>
    <t>Pedestrian Envrionment Improvements to Increase Transit Ridership</t>
  </si>
  <si>
    <t xml:space="preserve">http://rns.trb.org/dproject.asp?n=24823 </t>
  </si>
  <si>
    <t xml:space="preserve">RESEARCH PROBLEM STATEMENT
What types of changes to the pedestrian environment around transit stops and stations can increase ridership?
A considerable amount of research has looked at the walking behavior of public transit users. Additional research has demonstrated that the pedestrian environment can affect an individual’s decision to walk, as well as the tolerable walking distance. Although specific results vary, the findings are generally consistent with the idea that the pedestrian environment can influence the basic decision of whether to use transit and choice of transit access mode. It follows that changes to the pedestrian environment may, under certain circumstances, represent a viable strategy for increasing walking to transit, transit system efficiency, and overall transit ridership.
For example, improving pedestrian conditions near transit stops could make walking more pleasant and safe, which may encourage new transit riders to walk to transit. In addition, with better pedestrian accommodations, more riders may be willing to walk farther than the commonly-assumed 1/4-mile “maximum” walking distance. Further, systems that have been designed with short distances between stops to account for poor walking conditions may be able to be redesigned to improve service efficiency.
Transit agencies and transportation planners need guidance regarding the ability of pedestrian environment changes to impact transit usage and service characteristics. Such guidance would need to account for user characteristics; land use context; the relative cost, convenience, and reliability of transit compared to other modes; personal safety; and even the presence of social marketing campaigns.
This research will investigate the following question: How can changes to the pedestrian environment increase walk mode access shares, and transit system efficiency, and overall transit usage? 
OBJECTIVE
The objective of this research is to develop a context-sensitive walking to transit model that would consider the factors mentioned above, in addition to any others deemed important through a review of the relevant literature. With this information, transit providers and planning agencies would be able to identify needs, opportunities, and strategies with respect to transit users and pedestrian infrastructure. Specifically, the project will result in a method or set of guidelines that would allow transit agencies and planners to determine whether pedestrian environment changes could result in increased transit ridership and/or walk mode access, or improved transit efficiency.
RESEARCH PROPOSED
The research approach would be guided by a TCRP advisory committee and involve transit user surveys, non-transit user surveys, objective environmental data collection, transit system data collection. The following specific research steps are envisioned:
1. Convene a meeting with TCRP advisory committee to review existing practices with respect to transit pedestrian access planning.
2. Survey customers of one or more transit agencies about how far and how often they walk to transit, and about their perceptions of pedestrian safety and convenience. These surveys should be targeted towards users from areas with a significant amount of variation in the pedestrian environment.
3. Survey non-transit users living at different distances from transit stops about why they do not use transit.
4. Collect objective data on the characteristics of the pedestrian environment around transit stops and stations. One possible approach would be to use pedestrian level of service to evaluate walking conditions.
5. Collect objective data about transit service, such as headways, transit capacity, transit stop spacing, etc.
6. Collect objective data about competing modes of travel, both as access and primary travel modes.
7. Use statistical modeling to determine how, under differing circumstances, variations in the pedestrian environment impact the choice of whether to use transit and which access mode is used.
8. Develop recommendations based on research findings. </t>
  </si>
  <si>
    <t>Methods to Improve Physical Conditions for Pedestrians Along Existing Roads</t>
  </si>
  <si>
    <t xml:space="preserve">http://rns.trb.org/dproject.asp?n=24822 </t>
  </si>
  <si>
    <t xml:space="preserve">RESEARCH PROBLEM STATEMENT
Conditions for pedestrians along existing roads have wide-ranging impacts on whether public transportation services are used, whether students walk to school, whether people walk to local services; and, perhaps most importantly, whether people walk for general health. In addition, walking is frequently not a choice, i.e. a person does not have any option that does not include being a pedestrian along (or on) a roadway. With the almost exclusive reliance on the automobile for decades, pedestrian accommodations were not given a high priority. During this time period, sidewalks were not included on many arterial, collector, or even local roads. These and other factors resulted in lack of pedestrian accommodations on a large portion of the road network in the United States. In addition, sidewalk segments along roadways are often not connected; i.e., the sidewalk network is fragmented. The absence of sidewalks along existing roads is the most obvious missing accommodation. Further examples are missing accommodations for safe crossings, for those waiting for transit services, for students walking to school, etc.
When needs are addressed with limited resources, the basic steps to fulfilling these needs include identifying the problem, quantifying the problem, identifying cost-effective solutions, prioritizing needs, securing funding, and ensuring implementation. These steps are well established for highway improvements on the federal, state, and local levels, where well-developed methodologies, processes, and dedicated funding sources exist to address problems with the highway network to serve vehicular traffic. Such processes and funding are rarely in place for improving conditions for pedestrians. In addition, walking and biking needs are often considered together and frequently the same group or professional deals with both modes within an organization. Therefore, there is a need to establish formal processes for planning and programming pedestrian improvements along existing roadways.   
RESEARCH OBJECTIVE 
The objective of this research is to identify and analyze institutional barriers to improving physical conditions for pedestrians along roadways. In the first phase of the research, the most critical institutional arrangements relating to improving pedestrian accommodations will be identified and described. Key topics include:
    ownership of pedestrian issues at the federal, state, and local levels
    methods to identify problems with pedestrian accommodations
    methods to prioritize needs
    frameworks for funding and implementation. 
The second phase of the research will evaluate how effective current practices are in addressing conditions for pedestrians. In this phase, the magnitude of the problems will be quantified. In addition, best practices will be identified and documented. Finally, recommendations for improving institutional environments to support improved accommodations for pedestrians will be developed. </t>
  </si>
  <si>
    <t>Development of an All-User Detection-Based Intersection Signal System Capable of Intelligent Traffic Management</t>
  </si>
  <si>
    <t xml:space="preserve">http://rns.trb.org/dproject.asp?n=24820 </t>
  </si>
  <si>
    <t xml:space="preserve">RESEARCH PROBLEM STATEMENT
Pedestrian safety is a significant concern in the United States, and the safety data indicate that a pedestrian is killed in a crash approximately every 110 minutes and injured every 9 minutes. The growing population of seniors, the huge magnitude of the visually impaired, and the increasing mobility of children pose substantial challenges to pedestrian crossing safety on multilane intersections. Given the escalating number of pedestrian casualties, transportation professionals are striving to make crossing points safer, especially for seniors, children, and the visually impaired who need more crossing time. At a signalized intersection, pedestrians are accommodated through phasing and timing schemes. After the “WALK” interval, the “Flashing DONT WALK (FDW)”, used as the “pedestrian clearance interval (PCI)”, is held for a predetermined duration, and is then followed by a “Steady DONT WALK (SDW)” to stop pedestrians. The Highway Capacity Manual (HCM) prescribes that the parallel vehicular green must be at least equivalent to “WALK” plus “PCI”. Obviously, the walking speed is the critical factor in determining how much crossing time is actually provided.
One inherent problem is rooted in the difficulty incorporating varied walking speeds into the “PCI” timing design. Consequently, the use of normative values has remained common: the 2003 Manual on Uniform Traffic Control Devices (MUTCD) designated a fixed walking speed (4.0 feet/second) for the “PCI” timing. This practice has been less than effective, since its use is increasingly unsustainable given seniors, the visually impaired, and children who add significant variability to walking speeds. The upcoming MUTCD will lower the design walking speed to 3.5 ft/sec for the PCI, and 3.0 ft/sec for the total WALK plus FDW to accommodate slower pedestrians.
Past research has revealed that the walking speed varies considerably and ranges from 1.0 to 8.0 ft/sec, so different design speeds have been suggested for different populations. It seems unreasonable to provide the same PCI for a young runner, an elderly cane user, or a wheelchair user. Yet this is how current intersection signal systems operate. Most of current countermeasures only lower the design speed to prolong PCI. However, when the prolonged PCI exceeds the parallel vehicular green requirement, it is likely that providing a fixed longer PCI time to satisfy walking needs incurs more vehicular delays, since the additional green is also required for the parallel vehicular phase but it may be not needed for vehicular flow efficiency. The additional green time takes green away from one or more conflicting phases, inflicting more delay on the whole intersection. Therefore, to simplistically provide a longer PCI as a countermeasure may compromise vehicular flow efficiency, leaving the intersection operations sub-optimal. This inefficiency becomes more significant when a much lower design speed is used, because when pedestrians walk faster the additional PCI time is wasted completely. In a word, no matter what the design speed is, the fixed PCI cannot take all variability into account.
A significant challenge faced by existing intersection signals is the complex nature in which they must operate. Traffic signal controls must consider many often mutually competing or even conflicting objectives related to the needs of different users. “As the complexity of a system increases, our ability to make precise and yet significant statements about its behaviors diminishes, and significance and complexity become almost mutually exclusive characteristics (Kosko)”. Signal control methods should be adaptable to this complexity, namely dynamic environments governed by traffic signals.  In recent years, there has been increased interest in exploring the feasibility of harnessing artificial intelligence (AI) paradigms (i.e., fuzzy logic control, artificial neural network, genetic algorithm, etc.) to address complicated transportation issues for the betterment of transportation systems. In summary, since it is desirable to achieve a compromise among competing objectives that will ensure operational efficiency and safety needs for all users of a signalized intersection, this research is intended to develop novel signal control strategies and systems that accommodate, in an ITS-oriented way, not only the walking speed variability but also the multi-faceted needs for all users.
 RESEARCH OBJECTIVES
Currently, radar is commonly used as an ITS technology to detect approaching vehicles at an intersection or pedestrians at mid-block crosswalks for “operational” purposes. This research hypothesizes, in addition to reliable vehicle detection for control purposes, some existing detection technologies can be applied to effectively capture real-time pedestrian walking speed/location data to accommodate the data input need in an new intersection signal system. Therefore, the PCI can be dynamically adjusted to reflect the crossing time instantaneously needed by pedestrians, enhancing crossing safety and reducing the negative impact upon vehicular flow efficiency.  Simultaneously, with the all-user based detection the multi-faceted needs can be fulfilled in the signal control logic. Given the broad scope and the complexity of the issue, the proposed research is divided into three phases to boost the field implementation of the new signal system. These phases could be conducted serially or, except for the final stage, conducted in parallel, depending on availability of resources.
Phase I – Pedestrian Detection Systems Effectiveness and Reliability Field Tests
·         Based on existing typical hardware (e.g., 2070 controller etc.) and software (e.g., D4 etc.), conduct field experiments with different computer-aided video detection systems (e.g., Econolite Autoscope etc.) to adjust pedestrian crossing time to accommodate slower pedestrians. The experimental intersections would be selected to provide a range of traffic conditions with different vehicle/pedestrian volumes and crossing distances. 
·         Intensive data collection on pedestrian and driver behavior changes to answer questions such as: Whether pedestrians become aware of the automated system and then change their behaviors? What are impacts of providing information to pedestrians about automated detection? How effectively the tested detection devices perform in relevance to false and missed activations?
·         Comprehensive experimental record keeping of costs, maintenance, reliability, legal, and accessibility issues related to pedestrian detection systems tested.
·         Experiment with other promising pedestrian detection devices with limited application experience (e.g., heat sensors, long-wave infrared or millimeter wave detectors etc.) in similar ways as above.
Phase II – In-lab Test of the New Signal System via Hardware-in-the-loop Simulation
    Hardware-in-the-loop simulation (HILS) provides a unique and effective means of testing and evaluating the control logic newly embedded into a real-world controller in a high-fidelity simulation environment before its field implementation.  The controller interface device (CID) plays the crucial role in establishing the interface between the microsimulation software test-bed and a real-world traffic signal controller.  Therefore, one task in this phase is to develop a new CID and its support applications which effectively satisfy not only the detection input needs for pedestrian walking speeds but also the similar needs for vehicles.   
    Another task is to transplant these signal system prototypes (especially the FLC-based system) newly developed in relevant research efforts aforementioned onto an actual signal controller to implement an offline HILS-based effectiveness test under a wide spectrum of traffic conditions characterized by different vehicle/pedestrian volumes and crossing distances.  
Phase III – Field Implementation and Test of the New Signal System
    Establish the whole traffic management architecture in the field through integrating the pedestrian and vehicle detection equipments with the new signal control systems embedded in a real-world controller.
    Conduct a sufficient number of tests at a typical field site under various traffic conditions, with the intention to evaluate the system performances in terms of efficacy, safety, efficiency, reliability, sensitivity and so forth. 
From an ergonomic perspective, it is useful to view traffic operations at a signalized intersection as having three distinct dimensions for analysis: (1) traffic signal control system; (2) motorized vehicles; (3) crossing pedestrians (or non-motorized vehicles). The proposed research is intended to address exhaustively the essence, and the interactions, of all three dimensions to pursue an improvement in service quality for all users, especially pedestrians, at a typical intersection. Technologically, it reflects as well as advances the integration of multiple disciplines pertinent to transportation engineering. The exploratory work in this research mandates research spanning multi-faceted technologies and resolving technical problems most of which will be explored for the first time in the knowledge body of transportation engineering. Accordingly, this research will be a steppingstone for opening new research areas and multidisciplinary research in traffic operations. As the number of interactions between pedestrians and vehicles increases, this research can be instrumental in improving both the operational efficiency as well as the safety of all intersection users. </t>
  </si>
  <si>
    <t>Effect of Hand-Held Communication Device Use on Pedestrian Safety</t>
  </si>
  <si>
    <t xml:space="preserve">http://rns.trb.org/dproject.asp?n=24815 </t>
  </si>
  <si>
    <t xml:space="preserve">RESEARCH PROBLEM STATEMENT
Due to continuing technological advances over the last two decades, hand-held communication devices (e.g., cell phones) have become ubiquitous around the world. Studies have shown that such devices are a distraction to motor vehicle operators in that they divert driver attention from the roadway. Driver use of these devices has a direct effect on perception-reaction time, compliance with traffic control devices, and communications with other road users and can affect the vehicle’s path. While research today has focused primarily on vehicular safety issues associated with hand-held communication devices, certainly distracted drivers pose a risk to pedestrians crossing or walking near the traveled way.   
Observation in urban business districts and college campuses indicates that pedestrian use of hand-held communication devices is widespread and that pedestrian attention is affected. Pedestrian use of these devices has a direct effect on perception-reaction time, compliance with traffic control devices and monitoring the pedestrian environment. Distracted pedestrians are at increased risk of an incident due to inadequate monitoring of the walking surface, failing to check for approaching motor vehicles before entering the roadway and following unpredictable paths.
A multimodal transportation system will involve pedestrians and vehicles in close proximity to one another. In any such conflicts, the pedestrian is clearly the vulnerable user. Pedestrian safety is one of the Federal Highway Administration’s focus areas. Therefore, it is clear that to enhance pedestrian safety there is a need to understand the specific hazards that hand-held communication devices (whether used by drivers or pedestrians) pose for pedestrians. The research has direct implications for policymakers. 
RESEARCH OBJECTIVE
The main objective of this research is to evaluate the potential effects of driver and pedestrian use of hand-held devices on the safety of pedestrians. Given the broad scope and the complexity of the topic, the proposed research has been divided into four phases. The phases could be conducted serially or, except for the final stage, conducted in parallel, depending on availability of resources. 
The first phase would be to determine the magnitude or potential magnitude of the problem. The estimated cost of this phase is $175,000. The tasks within this phase include:
    Conduct a review of the published literature to identify risk to pedestrians posed by driver and pedestrian use of hand-held devices.
    Through short-term surveys at selected geographic locations, quantify hand-held device usage by drivers and pedestrians.
    Compile and summarize pedestrian-vehicle crash data to quantify the involvement of hand-held device usage in such crashes.
    Prepare a technical report documenting the methodology and results of Phase 1. 
The second phase of the research would assess the effect of hand-held device usage on driver and pedestrian attention. The estimated cost of this phase is $200,000. Tasks within this phase include:
    Use driving simulator to study the effect of driver device usage on inattention.
    Use a controlled environment to study the effect of pedestrian device usage on inattention.
    Prepare a technical report documenting the methodology and results of Phase 2. 
The third phase would identify regulatory controls that have been implemented and evaluate their effectiveness. The estimated cost of this phase is $175,000. Tasks within this phase include:
    Prepare a compilation of state and local regulations addressing hand-held device usage by drivers and pedestrians.
    Compare pedestrian and bicycle crash data before and after implementation of regulations.
    Survey drivers and pedestrians in multiple states about their perceptions of driver and pedestrian use of hand-held devices.
    Prepare a technical report documenting the methodology and results of Phase 3. 
The fourth and final phase would synthesize the results of the previous three phases into a report documenting the effects of driver and pedestrian hand-held device use on pedestrian safety and recommending policy action, enforcement strategies and educational programs intended to improve pedestrian safety. The estimated cost of this phase is $50,000. Tasks within this phase include:
    Critically review the findings from Phases 1, 2 and 3.
    Develop recommendations for improving pedestrian safety in the areas of policy, enforcement and education.
    Develop an implementation plan for each of the areas identified in B above.   </t>
  </si>
  <si>
    <t>Transitioning from High Occupancy Toll (HOT) Lanes to Full Facility/System Pricing: Identify and Address Design and Operation Issues</t>
  </si>
  <si>
    <t xml:space="preserve">http://rns.trb.org/dproject.asp?n=24742 </t>
  </si>
  <si>
    <t xml:space="preserve">I. RESEARCH PROBLEM STATEMENT
High Occupancy Toll (HOT) lanes are gradually becoming a mainstream congestion management strategy. Thus far, most of the HOT lanes have been implemented as isolated projects. Some areas have begun to plan for HOT lane networks. But little attention has been given to issues relating to transitioning HOT lanes or HOT lane networks to full system pricing environments.  Will this mentality create potential problems later if full system pricing is ultimately where we are headed? For example, current HOT lane design guidelines call for buffer space to separate HOT lanes from the adjacent general purpose lanes. As the buffer (or barrier) increases in size, the costs escalate. Will this capital investment associated with creating HOT lanes become “throwaway” work when the entire roadway network is tolled?  Whether to provide direct connections between HOT lanes faces a similar dilemma. Transition to such a major system can be difficult and costly without adequately considering these issues in current HOT lane planning and design. What are other design and operation issues we will face in the transition? How shall they be addressed?
II. OBJECTIVE
The objective of this research is to 1) study how traffic patterns and volumes would change as a metropolitan area transitions first to a limited number of HOT lanes and then to a fully priced network and 2) apply this information to the design and operation of HOT lanes so as to minimize their lifecycle costs during the transition to a fully priced network. In particular, the research will seek to develop a set of pricing, design, and operating guidelines that metropolitan areas can use to minimize “throwaway” work associated with a future transition from isolated HOT lanes to a fully priced network.
III. RESEARCH PROPOSED
The research should consider the transition of traffic in a metropolitan area from an un-priced system to one or more HOT lanes and finally to a fully priced network, allowing for increasing travel demand as the metropolitan areas grows over time.  Questions to be considered include the following. Will a metropolitan area be able to achieve free flow or nearly free flow conditions on HOT lanes at all times with variable toll rates? How would this flow condition vary if all lanes on a facility are tolled versus only prime lanes?  Given the anticipated growth in many of the metropolitan areas currently considering the implementation of HOT lanes or a HOT lane network, how high would the rates have to be in order to achieve a high degree of travel time reliability? Will these rates be politically feasible? Will the investment made to convert high occupancy vehicle (HOV) or general purpose lanes to HOT lanes (e.g., the allowance for buffer spaces) and a HOT lane network (e.g., direct HOT-to-HOT connections) become obsolete when the metropolitan area moves toward a full facility or full system pricing environment?  How can HOT lanes be designed and operated so as to minimize the need to redesign them once integrated into a fully priced network? From the methodological standpoint, do the tools and models we deploy in analysis today provide reliable answers to these questions? What types of improvements will need to be made in order to more robustly carry out these analyses? </t>
  </si>
  <si>
    <t>Application of Data Visualization and Visual Analytics to Freight Operations and Logistics at the Sub-National Level</t>
  </si>
  <si>
    <t xml:space="preserve">http://rns.trb.org/dproject.asp?n=23011 </t>
  </si>
  <si>
    <t>II. RESEARCH PROBLEM STATEMENT
It is extremely difficult for transportation decision makers and planners at the state and ‘sub-national’ level (e.g., state DOTs, MPOs, etc.) to (a) identify the sources of data required for different purposes, (b) to understand the nature of the relationships between key data elements, and (c) which methods, models, etc. are most appropriate for addressing different data-driven questions and issues regarding system level freight and logistics operations.
We are not talking about the data needed by shippers to manage the movement of goods in a global supply chain environment. We are talking about data and data concepts necessary to manage key components of the overall system and to evaluate the likely effects upon system growth and expansion in terms of measurable benefits. We are talking about data and data concepts necessary to facilitate system effectiveness (i.e., being able to ‘see’ or to ‘visualize’ the measurable relationships between the manipulation of system parameters and system effectiveness).
The UPS ‘whiteboard’ ads represent an effective means of using visualization and simple narrative to convey basic system concepts of global supply chains, alternative distribution methods, transportation management, tracking, routing and delivery. That same simplicity of presentation is currently lacking in the data provided for public use by the Bureau of Transportation Statistics (BTS), the FHWA Office of Freight Operations and Management, etc. While there is no substitute for the data (i.e., the ‘numbers’), the area of visual analytics suggests that more effective, largely ‘visual,’ user interfaces might greatly facilitate our ability to make sense of what are often complex interactions between different data elements. It is important to remember, however, that it is not just ‘about the pictures,’ but rather the empirical data and data-driven concepts that underlie the operations being depicted.
Visualization is increasingly seen within the Data and Information Section (ABJ00) of the Transportation Research Board (TRB) as a true ‘cross cutting’ technology. The section includes the Freight Transportation Data Committee (ABJ90), whose scope is: to identify and publicize sources of and needs for data on commodity movements, international trade, freight transportation activity, and the economics and organization of establishments engaged in freight transportation; to advise data collection agencies on cost-effective means of fulfilling essential data needs; and to assist analysts and decision makers in the effective use of freight transportation data. Obvious sponsors of research in this area would be the Data and Information Section (ABJ00) and the Freight Transportation Data Committee (ABJ95) and the Visualization in Transportation Committee (ABJ95).
Visualization, and its application to freight data, is to be a topic of concern addressed at the TRB mid-year meeting in Seattle.  Visualization as a cross cutting discipline is also the topic of numerous jointly sponsored technical sessions at the TRB 2010 Annual Meeting. The research covered by this problem statement, if implemented, will provide a foundation for future development efforts in this area.
III. OBJECTIVE
            To develop the requirements for an intuitive, graphic user interface to the key data elements and system processes required by a typical state level user(s) to develop and oversee the operation of an integrated, statewide freight/logistics plan. State, or sub-national, users (as referred to by NCFRP 20) might include state Departments of Transportation, Port Authorities (both seaport and inland), Rail Authorities, state Departments of Commerce and Economic Development, etc. The visualization methods shall permit users to address commodity flows into, through, and out of the state, modes of transport, facilities and facility capacities, system operating characteristics, intermodal operations, the variables of which system efficiency is a function, the potential for system expansion, as well as the parameters required for the calculation of system benefits and costs.      It is suggested that recommendations for the integrated use of visualization be developed in coordination with representative state and sub-national users and in the context of ‘case studies’ which would focus on applications of visualization with direct relevance to each case  study area.</t>
  </si>
  <si>
    <t>AFF30, Concrete Bridges</t>
  </si>
  <si>
    <t>Post-Tensioning Friction Losses in Concrete Girder Bridges</t>
  </si>
  <si>
    <t xml:space="preserve">http://rns.trb.org/dproject.asp?n=21904 </t>
  </si>
  <si>
    <t xml:space="preserve">http://rns.trb.org/dproject.asp?n=21833 </t>
  </si>
  <si>
    <t>III.        RESEARCH PROBLEM STATEMENT
Continuous post-tensioning is often needed to cover the full length of post-tensioned spliced girder bridges. However, if the length exceeds about 800 ft, friction losses are estimated to be excessive. Expensive solutions, including coupling and intermediate anchorages result. Existing recommended curvature and wobble coefficients vary greatly depending on the source. None of the coefficients are based on spliced girder systems in which the joints are very few, as compared to segmental bridges with joints every 6 to 12 ft. Test results from California cast-in-place box girder bridges have shown friction and wobble coefficients to be very small, as compared to segmental bridges.   Research is needed to establish credible values to be used in spliced girder designs.
One of the variables to be evaluated as part of the friction loss study is the influence of the duct material on losses. Plastic and steel ducts could have significantly different wobble and curvature values due to both their inherent friction characteristics and their stiffness during concrete placement. Corrosion protection afforded the prestressing steel by various types of ducts should also be evaluated as part of this project.
V.         RESEARCH OBJECTIVE
The objectives of this research project are to establish more realistic friction and wobble coefficients for spliced girder bridges, and to evaluate various commercially available post-tensioning ducts for their durability and the protection against corrosion that they provide the tendon. These objectives are to be achieved through completion of the following tasks:
1.                Literature and project review. Test reports from in-place friction tests should be procured from state DOTs. These tests results can be from cast-in-place, segmental or spliced girder bridges. If data is available from spliced girder bridge projects, other information such as tendon profiles, splice locations and lengths and construction tolerances should be gathered. 
2.                Additional data collection. Several spliced girder bridge projects which are under construction or soon to be under construction should be identified for further data collection. The tendons which have been identified for in-place friction tests should be carefully investigated to establish the as-built tendon profile. Information on required duct support during fabrication should be collected. Any misalignment of ducts across closure pours should be measured and recorded. The friction test data should be collected and analyzed independently by the research team. 
3.                Laboratory friction investigations. Several varieties of commercially available duct should be procured for laboratory tests. Tests to determine friction coefficients for several tendon sizes, curve radii and duct material should be performed. These results should be correlated with field data.
4.                Laboratory durability investigations. Tests should be performed to determine the corrosion protection provided for the tendon by several commercially available ducts. Both galvanized steel and plastic duct should be investigated. Cracked concrete cover should be assumed and an investigation of duct cracking due to concrete cracking should be conducted.
5.                Final report preparation. This report should recommend friction and wobble coefficients for typical spliced girder bridges, and report on the expected durability of spliced girder bridges with various types of tendon ducts.</t>
  </si>
  <si>
    <t>Are Roadways and Related Structures a Detriment to Safety in the Airport Environment?</t>
  </si>
  <si>
    <t xml:space="preserve">http://rns.trb.org/dproject.asp?n=21826 </t>
  </si>
  <si>
    <t>Some airports have roadways that transverse approach areas.  Are the roadways contributing to the non survivability of a crash through the use of extreme cross sections and structures that are not truly break-a-way if impacted by an aircraft.  Do light fixtures, sign posts, culverts, etc. significantly reduce the survivability of a crash.  Will the roadway section that usually includes ditches and other drainage structures provide a negative environment?</t>
  </si>
  <si>
    <t>II.      RESEARCH PROBLEM STATEMENT
          Tunnels are one of the most complex and expensive endeavors of civil engineering profession.  “Do it Right the First Time” is probably more applicable to tunnel structures than many other type of structures.  Considering that these structures are typically under a huge water body, a rugged mountainous terrain or an extremely congested urban environment, corrections to a faulty design or construction could be very complicated and expensive if not impossible.  The failure of the roof slabs of the Central Artery Tunnel in Boston, Massachusetts that tragically killed a motorist in July 2006 is a grim reminder of the importance of effective QA/QC techniques during the design phase, initial construction, and the service life of such structures.  We need to know what we do differently in the design, construction, and maintenance of tunnels to assure their integrity, make an assessment if those measures are sufficient, and then make recommendations for additional measures if needed.                      
III.     RESEARCH OBJECTIVE
          The objective of this study is to develop a protocol for assessing the integrity of tunnels using a variety of nondestructive and destructive techniques.  In order to achieve the objectives of this research the following tasks will be performed: (1) review of different type of tunnels according to their size, complexity, and the outside environment (2) QA/QC measures unique to tunnels during the design phase, (3) overview of different type of conventional and unique materials and construction practices used in the construction of different type of tunnels, (4) testing and inspection techniques used during the initial construction of tunnels, (5) different load and water tightness tests performed on tunnels after they are constructed but before opened to public use, (6) operation and maintenance plans, (7) semi-destructive and non-destructive techniques to assess the integrity of tunnels during their service life, (8) innovative sensors and technologies used as an alarm when the integrity and safety of tunnels could potentially be compromised, (9) a summary of the current state-of-the practice, and (10) recommendations for additional QA/QC measures to assure the integrity of tunnel structures.
          The main source of information for this research will include a survey of all State Departments of Transportation, various agencies of the U.S. Department of Transportation, various Tunnel Authorities and Commissions, and the Departments of Transportation of various state and local governments.</t>
  </si>
  <si>
    <t>Techniques for Assessing the Integrity of Tunnels</t>
  </si>
  <si>
    <t xml:space="preserve">http://rns.trb.org/dproject.asp?n=21819 </t>
  </si>
  <si>
    <t>Performance Analysis for Section 106 Programmatic Agreements</t>
  </si>
  <si>
    <t xml:space="preserve">http://rns.trb.org/dproject.asp?n=21225 </t>
  </si>
  <si>
    <t>Background: 
Programmatic Agreements (PAs) are intended to govern implementation of a particular program or streamline Section 106 review for complex projects, routine projects, and similar resource types with a predictable outcome regarding effects to cultural resources. Evaluating the effectiveness of PAs has been based on trial and error and focused on short-term rather than long-term results. Federal and state agencies find themselves dealing with angry constituents or locked into financial commitments that cannot be met when appropriate contingencies are not addressed or accounted for in a PA. Policies agreed upon by signatories to a PA are meant to be applicable for many years but without any documentation of best practices for PAs, staff turnover within agencies can eradicate the consistency and long-term benefits provided by these types of agreements.
Cost and time savings are perhaps the most commonly sought benefits of a PA.  Depending on the scale of the project and the resources involved, PAs can potentially save up to 80% of the total cost of dealing with resources on an individual basis. For example, the cost of completing Section 106 requirements (including eligibility evaluation, consultation and mitigation) for one of Milwaukee’s historic bascule bridges may cost $100,000 individually but only $20,000 if evaluated as part of a PA.  The Minnesota Department of Transportation has found that using a PA for historic bridges statewide can save valuable taxpayer’s dollars. Not only has Mn/DOT’s identification of historic bridges resulted in savings on the regulatory process, the state has found that maintaining an existing bridge can sometimes cost much less that removing and replacing a structure. In addition to cost savings, PAs can save time by having an agreed upon process already in place once action is required on a project.  However, time-not-spent is difficult to calculate. 
Predictability and reliability are also potential benefits of a PA. Effective PAs dictate who makes decisions, what deadlines exist, and can provide a clearer dispute resolution process than that specified in 36 CFR 800. Satisfaction with the process and the partnerships that develop out of a PA can add value and efficiency to agreements and their implementation. Substantive outcomes of a PA can help measure effectiveness. PAs may specify outcomes such as routine reporting of results or internal procedures, mandatory training or professional qualifications, or active monitoring of agreement provisions. PAs can also provide a qualitative improvement over individual project review that better addresses the preservation of a class or group of cultural resources.  
Objective: 
Develop standards for measuring the effectiveness of Section 106 Programmatic Agreements to help transportation agencies develop better PAs
Potential Benefits: 
Anticipated benefits of the subject project include:
Establish methodology and steps for developing an effective PA
Establish understanding for what types of projects and cultural resources are best suited for a PA
Provide useful information to officials and project managers faced with writing a PA  
Enable state agencies to share information and learn from others’ challenges and successes
Enable agencies to anticipate how a programmatic approach may reduce costs, save time, enhance consistent decision-making, and achieve other desired outcomes by explicitly disclosing the benefits accrued through existing PAs. 
Inform decisions made by agencies around the country regarding existing and future PAs.</t>
  </si>
  <si>
    <t>AFD40, Full-Scale and Accelerated Pavement Testing</t>
  </si>
  <si>
    <t>Effect of Accelerated Testing on the Rutting and Cracking Performance of Flexible Pavements</t>
  </si>
  <si>
    <t xml:space="preserve">http://rns.trb.org/dproject.asp?n=20928 </t>
  </si>
  <si>
    <t>The evaluation and validation of new/emerging pavement technologies and innovative concepts require assessing their in-service long-term performance.  In-service assessment requires the consideration of the interaction between traffic loading, materials properties, and environmental effects.  The primary disadvantage of such an evaluation approach is the extensive time period required to obtain potentially meaningful results.  Additionally, it is often difficult, impractical, and/or expensive to obtain or account for all the data and information required from in-service experimental set-ups.
The need for faster and more practical evaluation methods under closely simulated in-service conditions prompted the consideration of accelerated pavement testing (APT). APT is generally defined as a controlled application of a realistic wheel loading to a pavement system simulating long-term, in-service loading conditions.  This approach allows the monitoring of a pavement system’s performance and response to accumulation of damage within a much shorter time frame.  Such information is critical to support informed highway planning, policy, and decision-making.  Experiences in the United States and abroad have shown that APT can produce cost-effectively early, reliable, and beneficial/practical results while improving pavement technology and understanding/prediction of pavement systems performance.
However, in full-scale APT experiments, the wheel configuration, wheel load magnitude, and speed differ from those imposed by heavy vehicles on in-service pavements. In addition to this, APT testing is done in a short time, under almost constant temperature and moisture conditions. Thus, the aging of the materials and the long-term effect of the environment cannot be reproduced. Therefore, analytical and experimental research is needed to quantify the effects of accelerated testing on the rutting and load-associated cracking performance of flexible pavement structures. Once these effects are quantified, APT will become a more reliable and effective research tool for evaluating new design for pavement materials and structures and new construction procedures.
OBJECTIVE
The objective of the research is to quantify the effects of accelerated testing on the rutting and load-associated cracking performance of flexible pavement structures.
The following tasks must be performed to accomplish this objective: 
TASKS
PHASE I
Task 1. Review domestic and foreign literature and other information relative to the effect of APT testing conditions to the rutting and load-associate cracking performance of flexible pavements. The review shall focus on the effects of loading speed and frequency (head time), temperature, moisture, and age on the rutting and cracking performance of asphalt concrete, bound and unbound aggregate bases, and subgrade soils.
Task 2. Prepare a detailed work plan for Phase II that includes an approach for quantifying the effects of accelerated testing on the rutting and load-associated cracking performance of flexible pavement structures. The plan should describe in the greatest detail the proposed analytical and experimental work to be conducted.
Task 3. Prepare an interim report that documents the research performed in Phase I and includes an updated work plan for Phase II.
PHASE II
Task 4. Execute the plan approved in Task 3. Based on the results of this work, recommend a methodology for quantifying the effects of accelerated testing on the rutting and load-associated cracking performance of flexible pavement structures.
Task 6. Submit a final report that documents the entire research effort. The recommended methodology shall be described in great detail and presented in easy-to-use, step-by-step procedures.</t>
  </si>
  <si>
    <t>Driverless Road Vehicles: Now or Never?</t>
  </si>
  <si>
    <t xml:space="preserve">http://rns.trb.org/dproject.asp?n=20517 </t>
  </si>
  <si>
    <t>For many decades now, driverless vehicles have been a dream (or a nightmare for some) which seemed unattainable in current traffic situations. However, robotics research has progressed tremendously since the 1960’s when the first robotics vehicles were able to move centimeter by centimeter up to now where, thanks mostly to the various military programs throughout the world, we can demonstrate driverless vehicles in close to real environments running at reasonable speeds.
In parallel (and sometimes jointly) real advances in sensors, signal processing, control, localization and communication have allowed to introduce in today’s cars functions which can take over the control of the vehicle, at least partially or in emergency situations. However, it still seems unrealistic to many to remove completely the driver from the control loop, if only for regulatory or liability reasons.
This can easily be overcome if we simplify slightly the complexity of the driving task and remove the unpredictable elements of driving. This is the approach which was taken when robots were introduced in the manufacturing environment: instead of trying to copy exactly the manual operations (such as bin picking which was one of the great challenges of robotic researchers for many years), the environment was changed to simplify the task of the robots.
As now is being demonstrated in the first driverless road vehicles (driverless metros have been in operation for decades), these vehicles can be introduced in specific environments such as dedicated roads in airports (e.g. the Schiphol ParkShuttles which were in operation in the late 1990’s or the new ULTra vehicles now put in operation at Heathrow airport for a commercial service before the end of 2009). In such environments, the variability of the driving task is greatly reduced, just by removing the vehicles with human drivers (whose behavior can be quite unpredictable). Furthermore, communications between all the vehicles and the infrastructure allow for much simpler overall control.
Research is now called for identifying the conditions which can allow the implementation and the expansion of these first driverless applications, how to design, operate and maintain the right infrastructures and how dual-mode vehicles (which would have access to the existing network in manual or computer assisted mode) could have access to these new infrastructures. This could lead to a new worldwide infrastructure, quite similarly when the freeway infrastructure was introduced 50 years ago!</t>
  </si>
  <si>
    <t>ABJ50, Information Systems and Technology</t>
  </si>
  <si>
    <t>Common List of Services for State DOT Information Systems</t>
  </si>
  <si>
    <t xml:space="preserve">http://rns.trb.org/dproject.asp?n=20466 </t>
  </si>
  <si>
    <t xml:space="preserve">As transportation agencies seek to modernize and add functionality to existing information systems, many are adopting or exploring use of open architecture or service oriented architectures (SOA). Open architecture involves deployment of loosely coupled, modular software components whose interfaces are based on published, non-proprietary standards. SOA is an open architecture approach employing published and described self-contained services. Each service performs a specific task and is independent of the application that uses it and the computing platform on which it runs. Services can be developed for functions such as data exchange, data validation, user authentication, reporting, and mapping. 
There are significant opportunities to be realized from collaboration across departments of transportation (DOTs) in identification, development and sharing of services that can be deployed as part of DOT information systems. In order to realize such opportunities, an initial logical step is to identify a list of common services that DOTs could draw upon as they embark on system modernization and upgrades. Identification of common services would facilitate open architecture design efforts and enable future sharing of components across DOTs.
The scope of this effort should include both services internal to DOT organizations as well as services related to information exchange and transactions between DOTs and their partners and customers.
Research Approach
Develop a framework for future development of common services including (a) internal state DOT operations, (b) state DOT interaction with local and regional government, (c) state DOT interaction with federal agencies, (d) state DOT interaction with contractors, consultants, shippers and motor carriers, (e) state DOT interaction with citizens/travelers and organizations that serve them (e.g. mapping providers), and (f) state DOT interaction with emergency management entities. This framework should incorporate end-to-end support for movement of people and goods, and for public safety and disaster response. It should list common DOT applications that currently exist within each component (e.g. maintenance management, traveler information, oversize/overweight permitting, construction management, TIP/STIP development, environmental management, etc.)
Identify DOT’s that have already undertaken efforts to analyze application functionality and identify common components or services, and are willing to share the results of these efforts.
Identify instances where one or more DOTs are sharing common service models and documents.  The American Association of State Highway and Transportation Officials (AASHTO) Administrative Subcommittee on Information Systems is also exploring ways to share common  models, workflows, and documentation.  Include a summary of these efforts in the report.
Compile a list of common services that participating states have identified based on the information provided. Emphasis should be placed on services that are specific to state DOT business functions (both related to internal operations and external interactions) rather than those that would be applicable in any business environment. 
Organize the services according to the framework developed in Task 1, and further annotate and classify each service based on its type of function. 
Recommend a strategy for ongoing sharing of information about common services. 
Prepare a final report summarizing the research effort. </t>
  </si>
  <si>
    <t>Collaboration Site for Transportation Open Architecture Community</t>
  </si>
  <si>
    <t xml:space="preserve">http://rns.trb.org/dproject.asp?n=20464 </t>
  </si>
  <si>
    <t>Wikis began as a free, open site for anyone and everyone to contribute ideas, share knowledge and experience, post materials or explore a vision. Wikipedia is probably the best known of these sites and provides a positive lesson on the value of an open community of contributors. Today organizations both public and private have begun to see the strength of these sites for sharing formal and informal information, promoting collaboration, and creating a community of interest. A wiki provides a structure way to manage content and easily organize information for a specific group that may be open to all or closed to a specific community such as transportation organizations or TRB members. In a recent article titled "Moving to Government 2.0: Transportation Tries Out Wikis, blogs, and More" in the Federal Times issue on June 23,2008, Dan Mintz, CIO for the US DOT CIO writes about Government 2.0 initiatives including the use of wikis by the Federal Railway Administration, and the Research and Innovative Technology Administration (RITA).  RITA is considering using wikis to encourage collaboration among the 60 plus university transportation centers. Additionally the State of Washington DOT is using a wiki internally to create an open source community. 
As transportation agencies work on an open architecture approach there is a need to promote a way for their staff to easily share ideas, communicate lessons learned, and post documentation. A wiki seems to be one way to use this Government 2.0 approach to connect the people within the transportation community working on open architecture solutions. While a wiki is easy to set up there is a certain level of administration for the site, a basic structure is needed to organize content, and creation of a positive environment is needed to facilitate the growth of an open architecture community of interest. 
There are a number of ideas about where such a wiki could reside such as a university research center, RITA, AASHTO, or a private service. Each has value and challenges to creating a viable wiki for the community. 
The goal is to create a site to enable and foster collaboration and share best practices, tools, methods, and technologies. Included in such a site should be a resource library, threaded discussions, ability to share documents and possibly code. 
Research Approach
Compile a list of transportation related or other government wikis and determine the strongest 3-5 that may serve as an example for creating a wiki to be used by an open architecture community.
Identify an umbrella organization that would promote a way to control changes, correct mistakes, and validate new content. Focus on necessary governance that strikes a balance between promoting use and good public policy.
Recommend a structure for organizing content, facilitating collaboration, and promoting a community of interest. 
Determine the characteristics of a host organization to administer a national level wiki for an open architecture community. Consider work being done by technology sections of transportation associations and universities.
Identify who should have access to an open architecture wiki as a contributor, a researcher, or interested party. .</t>
  </si>
  <si>
    <t>Pedestrian Signals: Visibility to Pedestrians with Varying Levels of Vision</t>
  </si>
  <si>
    <t xml:space="preserve">http://rns.trb.org/dproject.asp?n=20407 </t>
  </si>
  <si>
    <t>RESEARCH PROBLEM STATEMENT
In an increasingly complex pedestrian environment, where the pedestrian phases may not be concurrent with vehicular green, recognition of pedestrian signal indications is necessary. Safe initiation of pedestrian crossing at signalized intersections depends on both knowledge of the onset of the walk interval, as indicated by the pedestrian signal indication, and on the ability to simultaneously monitor conflicting movement of vehicles that may be turning across the crosswalk or that may be running the red light. 
Persons having reduced visual fields may particularly have difficulty locating pedestrian signals in a visually cluttered background. Persons having low acuity often have difficulty discriminating the signal information. While it is assumed that color provides a helpful cue to discriminate pedestrian signal information, low vision may affect ability to discriminate color under varied lighting conditions. Usability of pedestrian signals by pedestrians with low vision appears to be influenced strongly by differences in lighting and glare.
In order to judge a safe time to begin crossing, pedestrians need to simultaneously use signal information and be aware of vehicular threats that should inhibit crossing at the onset of the WALK signal. Older pedestrians typically have decreased contrast sensitivity and visual acuity, reduced peripheral vision, and reduced “useful field of view,” (Wilson and Grayson, Age-related differences in the road crossing behavior of adult pedestrians, Publication No. TRRL-L-933, Transport and Road Research Laboratory, Crowthorne, England, 1980), all of which may affect their ability to use pedestrian signal information while simultaneously monitoring vehicular movement. Twenty-five percent of older persons surveyed in Orlando, FL reported that they had difficulty seeing pedestrian signals (Bailey, Jones, Stout, Bailey, Kass, and Morgan, 1992, Issues of elderly pedestrians. Transportation Research Record 1375). 
The MUTCD 2003 and the ITE Pedestrian Traffic Control Signal Indications – Part 2 provide minimal requirements and guidance on how to make pedestrian signal indications usable by pedestrians. Six inch high symbols are permitted for all crossings up to 100 feet in length, although MUTCD 4E.04 says “Pedestrian signal head indications should be conspicuous and recognizable to all pedestrians from the beginning of the controlled crosswalk....” Symbol colors and shapes are standardized in MUTCD 4E.04, and minimum brightness values for day and night viewing are provided in the ITE Standard.
RESEARCH OBJECTIVE
To determine the usability of pedestrian signals in the context of decisions regarding starting to cross, by persons with varying amounts of vision, and types of low vision, under different conditions of signal design, ambient light, and background clutter. Results will be used as the basis for proposing revised language for MUTCD 4E.04 and 5, and ITE Pedestrian Traffic Control Signal Indications – Part 2, and to prepare a guidance document regarding design and installation of pedestrian signal indications to make them maximally useful to all pedestrians who make street-crossing decisions based primarily on visual information.
Specific tasks:
1. Literature and field search resulting in a synthesis on usability of pedestrian signal information in the context of decision making for street crossing.
2. Human factors testing using large format video technology to examine the effects of signal size, illumination and background clutter, including movement of conflicting vehicles, on crossing decisions by pedestrians with varying levels of vision.
3. Field testing of recommendations resulting from the laboratory research.
3. Preparation of guidelines for pedestrian signals and installation, including case studies.
4. Development of language for inclusion in the MUTCD and ITE Pedestrian Traffic Control Signal Indications – Part 2</t>
  </si>
  <si>
    <t>Access Management in the Vicinity of a Freeway Interchange</t>
  </si>
  <si>
    <t xml:space="preserve">http://rns.trb.org/dproject.asp?n=20067 </t>
  </si>
  <si>
    <t>III.       RESEARCH PROBLEM STATEMENT
In the early stages (1960-1962) of developing the Interstate Highway System, a few individuals recognized the need for, and proposed, planning of development in the vicinity of interchanges. These proposals were received with little or no interest, and in some cases, hostility.
The Florida Department of Transportation (FDOT) was the first state highway agency (circa 1995) to adopt a guideline for spacing from an off-ramp terminal to the first right-in/right-out access and to the first full movement access connection. The guideline was based upon traffic operational analysis, antidotal information, and observations at an interchange area where litigation was involved. The evaluation also concluded that separation between an off-ramp and downstream access was more critical (i.e., longer distance is required) than the separation between a full movement access and an on-ramp. Investigations from the Oregon Department of Transportation (ODOT) expanded upon this work and developed more extensive separation distances. These distances were adopted by Oregon Administrative Rule.
NCHRP Synthesis 332, Access Management on Crossroads in the Vicinity of Interchanges (2004) provided an exhaustive review of nationwide practice and provides recommendations for research. According to this document, the following areas are lacking across North America:
·         The 13 access spacing factors presented in this report (see chapter three) and others should be analyzed to determine an appropriate methodology in which the combined effects of these factors could be quantified into an appropriate spacing distance based on the current and future desired geometric, operational, and traffic control characteristics of the crossroad facility.
·         To provide consistency within a given transportation agency and throughout North America, the manner in which spacing distances are measured (e.g., centerline and end of taper) could be reviewed to determine if a universal measurement might be determined and successfully used in locating access points.
·         Further research could be conducted to review agency access control distances and the effectiveness of the distances on maintaining the safety, capacity, and longevity of an interchange and the interchange crossroad.
·         To provide consistency within a given transportation agency and throughout North America, the access spacing factors of surrounding land use and environment (e.g., rural, urban, and urban fringe), crossroad classification, and level of interchange importance should be reviewed to determine if an appropriate categorical definition could be developed and used successfully in properly locating access points on crossroad facilities.
·         The use of design speed to develop access spacing standards on crossroad facilities is a relatively common and documented practice. However, other alternative speed-based factors should be examined to determine if an all-encompassing measure could be developed; for example
–   Do motorists driving along a crossroad perform all functions related to stopping sight distance or decision sight distance associated with a downstream access location between the interchange terminal and that given access location?
–   Do motorists entering the crossroad from an off-ramp at a service interchange perform avoidance and braking maneuvers at the design speed between the interchange terminal and the downstream intersection?
V.         RESEARCH OBJECTIVE
This research will collect and analyze factors affecting access spacing on crossroads recommended in NCHRP Synthesis 332. The research will consider safety and operational issues such as: crash frequency and crash rate, the number and type of vehicular conflicts, speed changes and delay to vehicles passing through the interchange area, fuel consumption, and vehicular emissions. Site access location and design that result in “spill back” onto the crossroad will also be assessed.
Case studies of good and poor interchange area access management and examples of interchange areas that have been modified will be prepared. To the extent that data are available, information of the effect on safety and operations will be summarized. Property owners and business owners at selected interchanges will be surveyed to evaluate the effect on business.
The research will develop guidelines for spacing from an off-ramp to the first right-in/right-out, full movement intersection and from a full movement intersection and right-in/right-out only to an on-ramp. Guidelines for spacing of signalized and unsignalized access connections on the crossroad, and geometrics and throat length of driveways to minimize negative impact on the crossroad will also be prepared. Additionally, guidelines will be provided relative to the relocation of ramps and frontage roads. Finally, the research will provide a procedure to aid in the evaluation of access to a crossroad in the vicinity of interchange ramps and the evaluation of modification of an existing interchange.
The results of this research will be translated directly into practice by providing sound research results for access spacing at interchanges.</t>
  </si>
  <si>
    <t>AFD90, Surface Properties - Vehicle Interaction</t>
  </si>
  <si>
    <t>Frictional Demand Requirements for Higher Friction</t>
  </si>
  <si>
    <t xml:space="preserve">http://rns.trb.org/dproject.asp?n=18983 </t>
  </si>
  <si>
    <t>II. RESEARCH NEEDS STATEMENT
Safety is a top priority at every level of the transportation hierarchy (local, state, and federal).  Highway safety is clearly a multidisciplinary problem that has three interacting components: the vehicle, the driver, and the roadway infrastructure.  Therefore, to achieve significant safety improvements, it is necessary to improve in all three areas and their interactions.  This proposed project would focus on the contact between the roadway and the vehicle by providing guidelines on the desired frictional properties of the pavement surfaces for different road characteristics, functional classifications, and geographical conditions.
III.    RESEARCH OBJECTIVE
The objective of this work would be the determination of the frictional requirements of a highway surface within the context of overall functional performance.  These frictional expectations should be based on highway alignment, highway features/environment, and traffic characteristics.  Best practices, both domestically and abroad, will be critically reviewed, documented and integrated into guidelines that will help develop more pro-active friction (or skid resistance) policies or programs, define frictional investigatory or intervention levels, select optimized pavement surfaces, and/or define performance specifications for new pavements.</t>
  </si>
  <si>
    <t>Model to Forecast Air Passenger Demand Across a System of Commercial Service Airports (Network Air Demand Analysis Model (NADAM))</t>
  </si>
  <si>
    <t xml:space="preserve">http://rns.trb.org/dproject.asp?n=18565 </t>
  </si>
  <si>
    <t xml:space="preserve">Research Problem Statement:
The 517 commercial service airports according to the National Plan of Integrated Airport Systems are expected to require $41 billion in capital developments over a five year period.[1]  The large and medium hub airports serve 89% of the scheduled passenger enplanements.  The Airport Improvement Program (AIP) supports airport safety, capacity, and environmental projects to thousands of airports across the nation.  The Operational Evolution Partnership (OEP) has focused on key airport developments at the nations busiest airports along with coordinated air traffic management initiatives and investments.  During the past decade, capacity constraints across the National Aviation System (NAS) have become progressively more binding as the secular trend of demand presses against the NAS’s component limits.  The FAA, individual states and communities, the airlines, and the ultimate consumer of air transport services have practical and competitive constraints on the commitment of financial resources to the air transport system and the services it provides.  Since resources are finite it behooves the federal government to allocate the discretionary funds to those projects which are most likely to serve the most potential air passengers and offer the most value to them.  Communities regularly bring proposals to the federal government expecting the FAA to fund new and expanded airport facilities that may already be competitively served and the investment of infrastructure funds may have little or no effect on the stimulation of demand or the improvement of air transport services at that locale. 
The state and regional transportation planning agencies, airports, FAA, and DOT need an objective air passenger market based method to assess the proposed needs for airport system developments across a constellation of airport facilities imbedded within the landscape of the overall communities they serve.  Numerous models have been developed for forecasting aircraft operations at individual airports and by extension across the NAS based on past patterns of use.  Current practice is yet to integrate in a systematic framework the effects of changing geographical demographics and industry structures, and the evolving (and sometimes experimental) air service patterns of airlines.   The NAS requires both geographically fixed and flexible airport and air traffic management infrastructure investments which are balanced, resilient, timely, and affordable.  Like any investor the individual airports and the FAA need to undertake their due diligence and invest in projects and programs that provide prudent payoffs.  Yet as noted above there is not an integrated framework for systematically evaluating consumer and market needs.  The current state of the NAS relies upon the individual requests of local airports which are evaluated in an episodic, piecemeal, and patchwork fashion.  FAA’s own internal investment planning for air traffic control infrastructure under its NextGen also requires input as to the valuation that end users place on air traffic management capabilities in order to properly design and invest in an efficient and cost beneficial manner.  The funding of this task provides a vehicle for the airport community to support and influence the future shape and texture of the NAS’ most important airport development requirements. 
I. Objective:      
Develop or refine a geographic based model and associated databases to forecast originating demand for air passenger transport services.  The model should be structured to differentiate amongst air passenger, air service, and fare characteristics, and ground accessibility factors.  </t>
  </si>
  <si>
    <t>Land Value Impacts from Aviation Easements</t>
  </si>
  <si>
    <t xml:space="preserve">http://rns.trb.org/dproject.asp?n=18562 </t>
  </si>
  <si>
    <t xml:space="preserve">II.  RESEARCH PROBLEM STATEMENT
As compatible land acquisition concerns continue to rise and the implementation of more non-precision and precision approaches are developed with new instrumentation (GPS) approaches, acquisition of aviation easements are expected to rise.  One of the primary questions often asked by property owners who are asked to sell their aviation rights for the safe navigation of aircraft is “what will happen to my property values once the easement is in place.”   It is unknown if there are any specific studies which address this issue so that an answer could be provided to the property owner.  Identifying an answer to this question would allow those consultants and sponsors to better address property owner concerns related to this issue. 
III.   OBJECTIVE
The purpose of this project would be to conduct a multi-step effort to assess the question of the impact of an aviation easement on the value of a parcel over the short and long-term period of its existence and provide a written document that can be referenced by industry professionals and real estate professionals when conducting aviation easement projects.   </t>
  </si>
  <si>
    <t>Public Involvement Related to Planning for Bicycle and Pedestrian Facilities</t>
  </si>
  <si>
    <t xml:space="preserve">http://rns.trb.org/dproject.asp?n=18473 </t>
  </si>
  <si>
    <t>With rising fuel prices, growing concerns for the environment, and expanding waistlines, biking and walking are gaining popularity as a mode choice across the nation. Bicycle and pedestrian facilities may be planned as part of a roadway improvement study, public transportation study, or a study dedicated to non-motorized modes.  Outreach to existing and potential users of bicycle and pedestrian facilities should be considered an integral aspect of these studies.  Considerations include safety, mobility, accessibility, connectivity, aesthetics, and other factors of relevance to users.  However, in planning for non-motorized modes, outreach efforts must extend beyond the community of users.  This need provides an opportunity for the implementation of innovative public involvement and facilitation techniques. A synthesis is proposed to document the experiences of transportation agencies in developing and applying public participation tools and strategies in planning and designing the bicycle and pedestrian infrastructure.</t>
  </si>
  <si>
    <t>AHB60, Highway/Rail Grade Crossings</t>
  </si>
  <si>
    <t>Reducing Flangeway Gaps at Railroad Crossings to Better Accommodate Pedestrians</t>
  </si>
  <si>
    <t xml:space="preserve">http://rns.trb.org/dproject.asp?n=17644 </t>
  </si>
  <si>
    <t>The Americans with Disabilities Act Accessibility Guidelines (ADAAG) require that gaps in pedestrian paths (sidewalks and crosswalks) not exceed 1/2 inch.  The Draft Guidelines for Accessible Rights of Way (June 17, 2002) allow pedestrian paths crossing railroads at grade to have a 2-1/2 inch gap on the inside of the rail for the railroad car’s wheel flanges (3 inches are allowed for tracks carrying freight).  The Public Rights-of-Way Accessibility Advisory Committee recommended that this exception expire since these larger gaps can trap  wheelchair wheels (manual and motorized, motorized mobility scooter wheels, other mobility aids (i.e. a walker, a cane, crutches or braces) and in some cases, the feet of pedestrians.  That committee recognized, however, that no technology exists to reduce the gap without increasing the likelihood of train derailment.  Flangeway fillers that are currently available do not hold up to the weights and speeds of travel common on freight systems. That committee stressed the need for research to find a solution to this problem. This problem exists for both heavy and light rail.  However the problem is more critical at heavy rail crossings, particularly where there is freight train traffic. As an increasing amount of light rail installations interface with current street infrastructure more pedestrians, particularly those  using mobility aids, will be affected by this issue.  Many heavy and light rail commuter stations have access to the platforms, which cross the tracks.  Finally, communities are installing paved, pedestrian paths that cross railroads separately from roadways and sidewalks.
Research Objective: The objective of this research is to develop promising designs for a flangeway gap that meet ADAAG requirements for pedestrian path gaps and do not endanger trains.  Successful designs will be rigorously field tested in a subsequent effort.
Task 1.  Search existing documents and resources, including existing or recent installations or concepts.  While it is believed that no successful installations exist except in very low speed, low rail-traffic situations, there is always the possibility that this belief is not correct.  In cases where flangeway fillers have been installed but have failed, the failure mode should be described.
Task 2.  Test flangeway fillers or other concepts to scientifically document the reasons for failure with the goal of seeing how the designs could be changed to allow them to be successful.  This research could also develop parameters for successful performance. 
Task 3.  As designs are developed, evaluate them for two basic safety criteria.  First, providing for the safe passage of trains without derailment under actual conditions of service, including climate, weather, and grade crossing environment conditions such as dirt, debris, and casual vandalism.  Second, but equally important, is to provide a safe crossing for pedestrians, particularly those using mobility aids,  under these same conditions.  For flangeway fillers, this second criteria means that after the passage of a train they will reliably return to a position that provides a safe crossing for pedestrians and mobility aid  users that have, through previous use of that crossing, come to expect that flangeway gaps at that crossing will not be present.
Task 4: Complete a final report recommending one or more solutions.  The final report would be expected to address estimated costs to construct and install each of the solutions.  It could also contain a plan for implementation over a given period.</t>
  </si>
  <si>
    <t>AHB15, Intelligent Transportation Systems</t>
  </si>
  <si>
    <t>Develop Truck and Bus Cooperative Automation Systems that can be Deployed on Their Own Lanes</t>
  </si>
  <si>
    <t xml:space="preserve">http://rns.trb.org/dproject.asp?n=17638 </t>
  </si>
  <si>
    <t>Background:
Transit buses and heavy trucks are likely to be the early adopters of vehicle automation technologies based on the use of V2V and I2V cooperative data for a variety of reasons:
-         a simpler driving environment can be offered, since transit buses and heavy trucks can operate in their own special-purpose lanes, segregated from the hazards of normal driving;
-         custom-made, high-value heavy vehicles will be likely to adopt new capabilities in less time and with less development cost than if they were applied to passenger cars;
-         introduction of new capabilities will be done via professional drivers and maintenance staffs that will be better equipped to deal with the limitations of immature systems when they are first introduced;
-         automation technologies can help reduce the high operating costs of transit buses and heavy trucks as well as providing capabilities for labor/time savings.
Although automated buses and trucks have been developed in prototype form and tested on test tracks, they have not yet advanced beyond the prototype stage of development. To do so would require the development of more robust implementations of the automation hardware and software, so that they can last for the life of the vehicle; and can detect, identify and respond to faults as they occur in order to minimize the burden that such faults would impose on the driver. Such enhanced systems need to be operated in realistic environments, dealing with the range of operating conditions that they would encounter in real deployments, and acquiring many hours of operational experience, in order to prove that they have reached a suitable level of maturity to be considered ready for public deployment.</t>
  </si>
  <si>
    <t>Analyze the Issues that Influence Widespread Deployability of Automated Transportation Systems, such as Human Attitudes Toward Automation and Impacts on Transportation and Community Development</t>
  </si>
  <si>
    <t xml:space="preserve">http://rns.trb.org/dproject.asp?n=17637 </t>
  </si>
  <si>
    <t>Background:
During the mid-1990s the National Automated Highway System Consortium (NAHSC) conducted extensive research on automated transportation systems, including development of operational concepts and technologies; investigation of traffic, societal and institutional impacts; and a public demonstration. However, for the past decade, work on highway automation has been largely dormant while substantial progress has been made on many of the underlying enabling technologies (telecommunications, software, computing, sensing, electronic actuation, etc.).  Furthermore, the transportation environment has changed, with increased concerns about traffic congestion, serious consideration of construction of new toll roads and dedicated truck facilities, and newly concentrated attention on overcoming the deployment challenges of vehicle-infrastructure cooperative systems. After this hiatus, it makes sense to re-examine the issues that are likely to influence the deployability of automated systems to determine whether these may be less of a concern than they were when the NAHSC work was terminated.</t>
  </si>
  <si>
    <t>ANB75T, Task Force on Roundabouts</t>
  </si>
  <si>
    <t>Pedestrian Visibility at a Roundabout</t>
  </si>
  <si>
    <t xml:space="preserve">http://rns.trb.org/dproject.asp?n=17504 </t>
  </si>
  <si>
    <t>Driver perception of a pedestrian conflict or the possibility of a conflict needs to occur at the earliest possible moment. This statement proposes a study pedestrian visibility including the impacts of lighting and other elements such as newspaper boxes, shrubs, and other obstructions anywhere in the stopping distance line of sight upstream from the top of the curb ramp. This would include the point of view of the pedestrian. Sight distance triangle and other illustrations and measures need to cover the motorist - pedestrian line of sight at all locations, especially the beginning of the cross walk, the point of entry. This helps avoid a crash and should help improve yield behavior.
Pedestrian size is not well accounted for in sight distance research. Even a three foot high shrub effectively screens the view of a small child standing or wheel chair user sitting at a pedestrian ramp. The AASHTO standard is three feet. This is too high for children and chairs. Only a small percentage of the person is visible and it is asking a lotfor the driver to discern a small child's head in a busy and visually complex environment. This would only be one of several sight distance issues that could be investigated. Lighting is an additional issue. Most research assumes daylight, yet higher volume pedestrian activity occurs in early morning peak hours and evenings after dark. Illumination of the pedestrian relative to the driver requires additional research on lighting placement.</t>
  </si>
  <si>
    <t>Intelligent Transportation System (ITS) Sensor Technology Applications for General Aviation Airports</t>
  </si>
  <si>
    <t xml:space="preserve">http://rns.trb.org/dproject.asp?n=17232 </t>
  </si>
  <si>
    <t xml:space="preserve">II.RESEARCH PROBLEM STATEMENT
The aviation industry is keenly aware of the need for increased safety and security at airports. However, most of the focus is on larger, commercial service airports located in large, urban areas. Many of these airports are receiving monies to upgrade passenger and facilities security as funding for these airports is more readily available. Smaller general aviation airports, including rural airports that support local economies, have limited funding and resources available to upgrade the safety and security features at their facility.   A critical need exists to examine low-cost technologies that can be used to increase the safety and security at general aviation airport.
Intrusions to a small general aviation airport’s property can come from both people and animals, creating both safety problems as well as security concerns. As these small airports develop, they attract more and more people who may not be familiar with the procedures for operating on the airport. Providing low cost safety and security solutions could go a long way in improving operational safety and security at these airports. In many cases, access to general aviation airports is uncontrolled. Limited access controls and/or airport design anomalies that have hangars and taxiways very close to the landside facilities, can create safety issues for many small airports that may be preventable with simple, low cost solutions. Airport operators have encountered many situations where someone has driven or walked up to aircraft when they had no legitimate reason for being there. Others have inadvertently driven onto the airside without knowing it as they attempted to visit a business located on the airport. While one solution may be the use of a short fence to limit access around the airport perimeter, a short fence is not effective at preventing deer and other large animals from routinely traversing the runway environment.   Many solutions will have similar trade-offs.
Many of the sensing technologies used in Intelligent Transportation Systems (ITS) may provide solutions to these and other general aviation security and safety issues. Vehicular traffic signal controllers use pavement “loops” to sense the presence of vehicle demand at intersections and parking lot entrances. Some cities use pressure pads to sense the presence of pedestrians waiting to cross a roadway. Both of these technologies have a low installed cost. Radar and acoustic sensors are also used for detecting vehicles in the roadway. They are slightly more expensive than “loops” but have an advantage in that installation is non-invasive. Infrared sensors are used to indicate when large animals enter a roadway right-of-way. Video detectors are more expensive than radar and acoustic technologies, but they have a distinct advantage in that they offer a video image of an area of interest while providing the necessary detections of vehicles or other artifacts. A new, in-ground, passive technology still under research may provide linear coverage of more than 10 miles. This technology may ultimately have the capability of providing perimeter coverage for general aviation airports and possibly be adaptable to include runway location information.
In discussing these new technologies with aviation professionals, it was surprising to learn that they are not aware of ITS sensing technologies and/or their potential uses in the general aviation airport operating environment. Many airports with limited on-site personnel could benefit from even the most basic applications such as knowing of a vehicle intrusion onto the airport grounds. A fully installed “loop” sensor to provide such notification only costs approximately $750. Better questions include what is the full scope of ITS sensing technologies available and how can they be deployed to address and solve the security and safety concerns of our smaller, but no less important, airports. Answers could include any non-traditional applications or configurations of ITS sensor technologies that could be useful to airports and/or airport system planners.
III.  OBJECTIVE
                The objective of this research is to determine what ITS technologies are applicable to addressing and solving security and safety issues present at general aviation airports. </t>
  </si>
  <si>
    <t>AHB45, Traffic Flow Theory and Characteristics</t>
  </si>
  <si>
    <t>Gap Acceptance Behavior of Different Types of Drivers</t>
  </si>
  <si>
    <t xml:space="preserve">http://rns.trb.org/dproject.asp?n=15595 </t>
  </si>
  <si>
    <t>I. Research Problem Statement
The types and relative influences of exogenous variables determining gap acceptance are unknown for situations such as lane changing, entering a priority road or passing other vehicles on a rural road. Particularly, the role of velocity differences has been rarely investigated.
II. Research Objectives
Identify the main factors for gap acceptance and their relative weight. Develop suitable microscopic models.</t>
  </si>
  <si>
    <t>Effect of Advanced Technologies on Traffic Flow</t>
  </si>
  <si>
    <t xml:space="preserve">http://rns.trb.org/dproject.asp?n=15589 </t>
  </si>
  <si>
    <t xml:space="preserve">I. Research Problem Statement
Unlike other flows such as air, water, and internet packets, traffic flow is unique in that it involves driver intelligence in the loop. The effect of driver intelligence on traffic flow is two-fold, i.e. traffic flow influences driver behavior which, in return, alters traffic flow. Though advanced technologies may come in various forms such as better information, more convenient/comfortable devices (e.g. automotive features), and peace in mind (e.g. safe road and vehicle designs), their effects are eventually attributed to the change of driver behavior. Therefore, the central problem here is to understand the complexity and interdependency of a traffic system involving human intelligence, traffic flow, and advanced technologies.
The effect of these systems can only be estimated in a large scale either by monitoring their impact after their use by road users under real traffic conditions (not under an experimental environment) or by estimating their impact prior to their use using simulation models (after their impact in experimental environments (traffic simulator, questionnaire survey, naturalistic driving studies etc) has been established). Hence, existing traffic models need to be further enhanced so as to incorporate elements of ITS operation and driver behavior under the use of the systems.
TS can be classified into two main categories.
    ADAS (advanced driver assistance systems) Systems that assist the driver in the driving task (controlling speed, lateral movement). Examples include intelligent speed adaptation (ISA), autonomous cruise control (ACC), VII technologies.
    Conventional ITS such as ATMS and ATIS technologies. Examples include variable message signs (VMS), ramp metering, incident management. 
More research has been conducted on conventional ITS compared to ADAS, although both areas remain important areas that required research.
II. Research Objectives
To address the above problem, mathematical models and simulation tools to represent the complex, interdependent system at varying levels of aggregation is called for. These models and tools need to specifically incorporate changes in driver behavior brought about by advanced technologies. This research will allow enhancement to existing traffic models so that the operation and use of ITS is incorporated into their rules and dynamics.
It must be noted that several studies on driver behavior under the use of ITS have been conducted in various types of environments: driver simulators, test tracks, questionnaire studies, real traffic conditions. Hence, there is data available which describes both system operation and driver behavior under the use of ITS. </t>
  </si>
  <si>
    <t>AHB50, Traffic Control Devices</t>
  </si>
  <si>
    <t xml:space="preserve">http://rns.trb.org/dproject.asp?n=15575 </t>
  </si>
  <si>
    <t>RESEARCH PROBLEM STATEMENT
In an increasingly complex pedestrian environment, where the pedestrian phases may not be concurrent with vehicular green, recognition of pedestrian signal indications is necessary. Safe initiation of pedestrian crossing at signalized intersections depends on both knowledge of the onset of the walk interval, as indicated by the pedestrian signal indication, and on the ability to simultaneously monitor conflicting movement of vehicles that may be turning across the crosswalk or that may be running the red light.  
Persons having reduced visual fields may particularly have difficulty locating pedestrian signals in a visually cluttered background. Persons having low acuity often have difficulty discriminating the signal information. While it is assumed that color provides a helpful cue to discriminate pedestrian signal information, low vision may affect ability to discriminate color under varied lighting conditions. Usability of pedestrian signals by pedestrians with low vision appears to be influenced strongly by differences in lighting and glare.
In order to judge a safe time to begin crossing, pedestrians need to simultaneously use signal information and be aware of vehicular threats that should inhibit crossing at the onset of the WALK signal. Older pedestrians typically have decreased contrast sensitivity and visual acuity, reduced peripheral vision, and reduced “useful field of view,” (Wilson and Grayson, Age-related differences in the road crossing behavior of adult pedestrians, Publication No. TRRL-L-933, Transport and Road Research Laboratory, Crowthorne, England, 1980), all of which may affect their ability to use pedestrian signal information while simultaneously monitoring vehicular movement. Twenty-five percent of older persons surveyed in Orlando, FL reported that they had difficulty seeing pedestrian signals (Bailey, Jones, Stout, Bailey, Kass, and Morgan, 1992, Issues of elderly pedestrians. Transportation Research Record 1375). 
The MUTCD 2003 and the ITE Pedestrian Traffic Control Signal Indications – Part 2 provide minimal requirements and guidance on how to make pedestrian signal indications usable by pedestrians. Six inch high symbols are permitted for all crossings up to 100 feet in length, although MUTCD 4E.04 says “Pedestrian signal head indications should be conspicuous and recognizable to all pedestrians from the beginning of the controlled crosswalk....” Symbol colors and shapes are standardized in MUTCD 4E.04, and minimum brightness values for day and night viewing are provided in the ITE Standard.
RESEARCH OBJECTIVE
To determine the usability of pedestrian signals in the context of decisions regarding starting to cross, by persons with varying amounts of vision, and types of low vision, under different conditions of signal design, ambient light, and background clutter. Results will be used as the basis for proposing revised language for MUTCD 4E.04 and 5, and ITE Pedestrian Traffic Control Signal Indications – Part 2, and to prepare a guidance document regarding design and installation of pedestrian signal indications to make them maximally useful to all pedestrians who make street-crossing decisions based primarily on visual information.
Specific tasks:
1. Literature and field search resulting in a synthesis on usability of pedestrian signal information in the context of decision making for street crossing.
2. Human factors testing using large format video technology to examine the effects of signal size, illumination and background clutter, including movement of conflicting vehicles, on crossing decisions by pedestrians with varying levels of vision.
3. Field testing of recommendations resulting from the laboratory research.
3. Preparation of guidelines for pedestrian signals and installation, including case studies.
4. Development of language for inclusion in the MUTCD and ITE Pedestrian Traffic Control Signal Indications – Part 2.</t>
  </si>
  <si>
    <t>AFF20, Steel Bridges</t>
  </si>
  <si>
    <t>Rate of Degradation of High Strength Galvanized Wire Used in Cable Supported Bridges (Deterioration Rates of Wires)</t>
  </si>
  <si>
    <t xml:space="preserve">http://rns.trb.org/dproject.asp?n=15213 </t>
  </si>
  <si>
    <t>PROBLEM STATEMENT
During an inspection of a suspension bridge cable, many, if not all, owners request an estimate of the remaining life of the cable. At the present state of knowledge, this is only a guess. Several models have been proposed to estimate the remaining life. The most promising cable degradation model uses the condition of wires inside the cable at various locations as a scaling factor applied to a laboratory deterioration rate from stage to stage of a wire (see NCHRP 537 report, section 2.6.2) to estimate the condition of the wires at various times in the future.
A research project into this matter has recently been canceled because it appeared that the needed data would not be found. In that project, short (6”) specimens of cable wire were exposed to an “environment” that was somewhat more aggressive than the water found inside the Williamsburg Bridge Cable in an attempt to accelerate the deterioration process; the deterioration rates were determined only up to Stage 4 corrosion, the initiation of cracks was not successful. In the evaluation of the Forth Road Bridge Cable, it was noted that out of 46 Stage 4 wire samples, tested as 460 specimens, only 17 cracks were found in 11 wires. This result was part of the decision to terminate the research project.
RESEARCH OBJECTIVE
Determine the time required for wire used in suspension and cable stayed bridges to advance from one category of corrosion to the next, these categories being:
            Cat. 1: slight signs of zinc corrosion
            Cat. 2: entire wire covered with zinc corrosion product (“white rust”)
            Cat. 3: start of stage 3 corrosion (small amounts of ferrous corrosion visible)
            Cat. 4: start of Stage 4 corrosion (more than 30% of surface covered with ferrous                                     corrosion)
            Cat: 5: initiation of cracks
            Cat. 6: first wire failure (in a group of wires)
            Cat. 7:  All of a group of wires fails
In these definitions, a “group” of wires is a contiguous number of wires in a cable that are all subjected to the same “environment”. For example, the wires on an octant of a suspension bridge cable in the outer row of the cable, or in a specific inner row of the cable. The wires in a suspension bridge cable have been observed to deteriorate at different rates at different depths and locations in the cable. The exact definition of “group” will have to be defined as the wires in the suggested testing arrangement deteriorate. Thus, all wires in the test could compose one group if each were to be tested separately, or the wires in the suggested arrangement below would be separated into perhaps 6 groups by vertical layers.</t>
  </si>
  <si>
    <t>Standards and Specifications for Utility Data Submissions</t>
  </si>
  <si>
    <t xml:space="preserve">http://rns.trb.org/dproject.asp?n=15184 </t>
  </si>
  <si>
    <t>II.      RESEARCH PROBLEM STATEMENT
      There are a large number of utility installations on state rights of way (ROW). Accurate locations and characteristics of many installations are unknown, making ROW management activities at state departments of transportation (DOTs) increasingly difficult. The implications of ineffective utility management on state ROW are far reaching and directly impact the public through: 1) increased risk and costs for roadway development, operations, and management; and 2) increased costs for utility infrastructure relocation activities. Coordinate and attribute data for utility installations have historically originated from utility relocation and utility permitting processes within DOTs. However, effective capture and management of utility installation inventory data is impaired because these processes are typically paperwork and labor intensive, and suffer from data quality and data completeness issues prior to, during, and after construction. 
      Because of population growth, public preference to bury cables, utility deregulation, rise in Internet usage and a corresponding e-commerce boon, utility congestion within the ROW has reached problematic levels, particularly concerning telecommunication installations.  Using computerized communications for conducting daily commerce and government operations reduces unnecessary vehicle travel, which, in turn, can ease road congestion and decrease greenhouse gas emissions.  While this is a benefit, it is also true that the need for ROW access by utility companies is generating additional paperwork and more process management demands on state DOTs. 
      State DOTs cannot continue to do business as usual. Reasons include the following:
    Offices overseeing utility installations are often understaffed, and personnel retire or move on.
    The quantity of existing utility infrastructure coupled with the influx of new infrastructure information to be processed and managed has simply become overwhelming.
    The consequences, costs, and risks caused by unknowns with existing infrastructure has reached levels no longer acceptable to the public, utility owners, contractors, DOTs, and the Federal Highway Administration.
      Utility companies are increasingly using geographic information systems (GIS) to support their own operations. However, these efforts are industry specific and do not address the typical data management needs of a state DOT, which has to accommodate a wide range of utility installations within the ROW. At the same time, DOTs are implementing subsurface utility engineering (SUE) procedures coupled with technologies such as high-precision, high-accuracy survey tools, and computer-aided design (CAD) and GIS software to locate, map, and manage utility facilities. However, usage of these technologies is often “stovepiped,” focusing only on certain specific activities during the lifetime of a utility facility. For example, while the use of SUE procedures for data acquisition during the project development process is becoming more common, subsequent data acquisition during the construction/inspection phases typically does not occur. The result is a missed opportunity to: 1) update and store usable as-built data, and 2) preserve the value of the original SUE effort, which entails significant effort, time, and expense to unravel and interpret the often-confusing array of buried infrastructure. Similarly, while the permitting process might provide preliminary information about the location and characteristics of new proposed installations, there is usually very little effort to capture and document actual as-built conditions on the ground during installation, which is obviously the most ideal time to record as-built data.  There is a need for a coordinated effort to integrate different data sources into a single utility data repository that in time will serve as the basis for a much required DOT utility management system. Without this component, there is a substantial decrease in the long-term value of any acquired utility data, greatly compromising the ability to manage public ROW effectively.
III.    RESEARCH OBJECTIVE
     There is a need to develop a generalized framework for utility data submissions that could serve the typical data collection, inventory, management, and maintenance needs of all of the state DOTs. The framework would include not just a generalized utility data model itself, but also data exchange standards and data submission specifications throughout the lifetime of any utility installation on the state ROW. The research would also produce implementation recommendations to ensure the usability of the standards and specifications as a mechanism to develop long-term repositories of utility facility data. This research would yield enormous benefits to all the stakeholders involved, including state DOTs, utility companies, and “One Call” centers and utility locate contractors. DOTs around the country would benefit because they currently have to deal with the limitations of short-lived, widely diverse data collection efforts and isolated data management strategies. The utility industry would benefit because, despite investments in CAD, GIS, and other similar technologies, there are still many cases where poor utility data inventory practices are hampering individual utility companies’ efforts to manage assets effectively. The utility industry would also benefit by supporting a system that would enable a more effective coordination with the DOTs.</t>
  </si>
  <si>
    <t>ANB23T, Task Force on Highway Safety Workforce Development</t>
  </si>
  <si>
    <t>Creating a Demand for Road Safety Education</t>
  </si>
  <si>
    <t xml:space="preserve">http://rns.trb.org/dproject.asp?n=14473 </t>
  </si>
  <si>
    <t>Problem
The science of safety has changed dramatically over the past decade, but the current road safety workforce is largely unaware and unskilled in new methods and technologies. RRD 302 documents the lack of formal training available to road safety professionals from the U.S. perspective. One necessary ingredient for making the training available is to create a demand. At least two paths are available:  one stemming from the job market and the other through encouraging young people to seek professional development educational opportunities in the safety profession. 
Objectives
§        Develop methods and techniques for creating a demand for road safety training within the current job market.
§        Develop methods and techniques for creating an interest in road safety careers among young people which results in a demand for training and educational opportunities.
Job Market Approach
To create demand within the current job market, the research should identify the most efficient methods for training highway safety professionals, both from a university perspective and through continuing education.  At least two research tasks are involved: one is to identify opportunities to learn from our international counterparts; another is to identify and develop effective techniques for creating awareness of current road safety training needs and opportunities in the domestic workforce.</t>
  </si>
  <si>
    <t>Parking for Public Transit</t>
  </si>
  <si>
    <t xml:space="preserve">http://rns.trb.org/dproject.asp?n=14384 </t>
  </si>
  <si>
    <t xml:space="preserve">II.   RESEARCH PROBLEM STATEMENT
The provision of parking spaces at or near transit boarding points evokes mixed feelings within the transit industry and the local communities that the industry serves. Some people believe that it would be better to operate common carrier feeder services to line-haul transit facilities, and to discourage access by private vehicles. Yet new rail transit stations or lines built without parking provision in medium density areas have often learned that, even with considerable feeder provision, providing parking is necessary to build rail ridership. And for some commuter rail systems, limited parking provision is seen as a major constraint on further ridership growth.
The objective of this research project would be to provide a primer for transit agencies on parking provision for transit. The Primer would include methods to evaluate the effect of parking on ridership, on traffic flow at stations, and on nearby neighborhoods. The primer would describe best practices in parking provision, communicating with the customer and in revenue management. It would also investigate the pros and cons, legality, and practicality of restricting use (or differentiating prices) at over-subscribed parking facilities.
III.          OBJECTIVE
The objective of this research project would be to provide a primer for transit agencies on parking provision for transit. The primer would include methods to evaluate the effect of parking on ridership, on traffic flow at stations, and on nearby neighborhoods. The primer would describe best practices in parking provision, communicating with the customer and in revenue management. It would also explain the pros and cons, legality, and practicality of restricting use (or differentiating prices) at over-subscribed parking facilities. </t>
  </si>
  <si>
    <t>Evaluating and Predicting the Effects of Vibration from Construction and Use of Transportation Structures on Buried Archaeological Deposits.</t>
  </si>
  <si>
    <t xml:space="preserve">http://rns.trb.org/dproject.asp?n=14299 </t>
  </si>
  <si>
    <t xml:space="preserve"> Problem
When determining the potential effect a project may have on an archaeological site, indirect effects as well as direct impacts must be considered. Encapsulating a site under fill material or capping it with concrete can provide some direct surface protection but there are many variables that may indirectly affect archaeological deposits from construction and use of the finished transportation structure.
In evaluating effects, construction methods and equipment are key components. Excavators, cranes, graders, etc., can weigh 80-100 metric tons. Effects from vibration, compaction or destabilization of subsurface soils from excavation are possible. Vibrations from pile driving construction shoring or bridge footings can exceed forces created by earthquakes, which may cause liquefaction. Liquefaction occurs because of changes in pore pressure and reduced effective stress between solid particles generated by the presence of liquid. It is often caused by severe shaking, and can cause sediments to mix; much like a liquid. There may also be long term effects from vibration and compaction caused by use of the transportation facility over time.
An alternative method to mitigate adverse effects from transportation projects, other than archaeological data recovery, which can be costly, is the controlled burial of significant sites under highway fill or encapsulation under asphalt or cement. Some literature exists on vibration impacts to the built environment; however, not regarding the archaeological record in a transportation context. Little to no research exists as to how to effectively evaluate vibration impacts, long term effects of vibration and compaction on archaeological sites nor the effectiveness of site burial as a mitigation measure. This project will gather base data for predictive modeling, synthesize this data with existing data and evaluate its applicability to archaeological issues, develop a framework for predictive modeling in evaluating adverse and cumulative impacts from transportation projects and assist in decisions as to appropriate mitigation measures.
Objectives
1. To determine the levels, depth, distance and effects of vibration from the construction and use of transportation structures in differing subsurface environments.
• What degree of compaction and mixing results from vibration levels over the short and long term in various types of sediments from construction and facility use.
2. What research literature is currently available concerning the surface and subsurface effect of vibration during construction and use of transportation facilities; can this be applied to archaeological issues?
• Vibration data is recorded on test pile(s) for analysis prior to driving piles during bridge construction. Geologic cores are taken early in the project design phase to determine engineering design requirements. What form does this data take? Can this data, from previous construction projects, be used to interpolate vibration levels and possible damage to buried deposits in projects with similar subsurface stratigraphy? This knowledge would allow for more accurate assessment of effects on archaeological resources and the built environment at no extra cost for the agency.
• A body of data exists on the effects on surface and subsurface waves from earthquakes. Data also exists on vibration effects from trains on soil and nearby structures. Do engineering studies, modeling, experimental data already exist on effects of vibration on different types of subsurface deposits that can be applied to similar archaeological subsurface sediments.?
3. What effects does vibration have on archaeological materials? What are the thresholds for these effects? (i.e. does vibration and the resulting compaction only effect the individual artifacts or is vibration significant enough to also destroy stratigraphic relationships? What are the vibration thresholds for these effects in the short and long term?)
Results
The results of this study will supply transportation agencies with the necessary information to evaluate:
-The effectiveness of controlled archaeological burial under or near transportation structures with varying subsurface stratigraphy (stewardship).
-Develop predictive models for vibration impacts on cultural resources from construction and use of transportation structures in the short and long term (stewardship).
-To justify the extent of data recovery and costs to regulatory agencies.
-To develop specifications for design and construction techniques and/or site burial requirements. 
- This type of information will improve accuracy of evaluation effects, identify issues early in the process which can effect project timelines and ultimately cost, improve decision making (i.e. time, cost: streamlining). </t>
  </si>
  <si>
    <t>Integrating Risk Management into Performance Measurement for Decision Making</t>
  </si>
  <si>
    <t>http://rns.trb.org/dproject.asp?n=14258</t>
  </si>
  <si>
    <t>PROBLEM: There is no consensus on how risk management should be integrated into performance metrics.  Yet risk management is an increasingly popular way to better identify, assess, prioritize, and communicate future risks, and make decisions to maximize opportunities and minimize threats.  Performance measurement is a vital management tool that must include the predictable results of decisions in the design, construction and operation of transportation facilities while accounting for possible unintended consequences of those decisions. 
OBJECTIVE:  To identify from the body of available research how risk management techniques and methods have been integrated into performance measures.  Specifically recommendations and improvements to evaluate transportation facility design, construction and operation.</t>
  </si>
  <si>
    <t>Develop a Framework and Methodology for Incorporating Environmental Factors into Performance Management Programs</t>
  </si>
  <si>
    <t xml:space="preserve">http://rns.trb.org/dproject.asp?n=14257 </t>
  </si>
  <si>
    <t xml:space="preserve">PROBLEM:    Transportation performance management is now a well established and accepted best practice for establishing accountability and driving results in transportation agencies.  Holistic approaches to performance management require that performance measures and considerations be integrated into all functions from policy development and long range planning to programming and budgeting, program and project delivery, system operations, maintenance and monitoring and reporting results.  In addition, holistic approaches need to reflect all the key performance areas of concern including system and facility conditions, congestion and mobility, safety, cost effectiveness as well as harder to measure areas such as environmental factors. 
                                       While some research has been done on environmental performance measures, environmental management systems and particular environmental impact areas (air quality, noise, wetlands, etc.), a comprehensive framework and approach has not yet been fully developed for integrating environmental factors into performance management programs.  Specific issues include the appropriate environmental measures to include in such a program and the appropriate approach and level of detail for considering environmental performance factors at various stages of the planning, development, delivery and operation.
                                       Just as importantly, since investments in environmental mitigation are often driven by permitting and resource agency decisions, transportation agencies may not have control over how these factors are weighted within holistic performance management frameworks.  Often, funds going towards environmental performance are subsumed into the “cost of doing business, ” since most transportation agencies do not independently track the cost of direct mitigation or design specifications that provide environmental benefit.      Performance measurement systems that fully incorporate environmental considerations longitudinally within the planning, development, and delivery processes will necessarily include performance goals that serve multiple missions including both transportation and the environment.  Ideally, such processes should provide benefit to the transportation program as well as to specific environmental resources.  There is no accepted business process for how such multi-mission performance goals are established, how long-term costs (such as maintaining viable wetlands) are considered in trade off analysis between performance categories, or how early commitments relative to the environment later benefit the transportation programs of state DOTs.   
OBJECTIVE:    To develop a framework and methodology, including potential  performance measures and approaches, for integrating environmental factors into agency-wide performance management programs .  This approach will not be a catalog of measures.  </t>
  </si>
  <si>
    <t>Evaluation of the Potential Benefits of Electronic Shipping Papers for Hazardous Materials Shipments</t>
  </si>
  <si>
    <t xml:space="preserve">http://rns.trb.org/dproject.asp?n=14249 </t>
  </si>
  <si>
    <t>Description of the Need
Emergency responders have long stressed the importance of having access to real time or near real time hazardous materials identification information for responding to hazmat transportation incidents. This need also includes the desire to have definitive material identification information, e.g., the specific chemical name of a material that is more descriptive than typical shipping names such as flammable liquids, n.o.s. One promising step toward realizing these goals would be the availability of electronic shipping papers or electronic manifests. With the evolving wireless communication technology today, responders could query shipment databases and access shipment-specific material information in near-real time. Such a system would be a reasonable alternative to higher-cost satellite tracking and communication technology. However, widespread availability of electronic bills of lading would require substantial changes in the way business is now conducted and could entail some sort of regulatory requirement for some high-hazard materials. There are some initial efforts to create an electronic manifest system for particular applications, such as the Automated Commercial Environment (ACE) being developed by DHS for border crossings. Also, the evolving Vehicle Infrastructure Integration (VII) program being considered by FHWA’s ITS program could eventually provide the technological infrastructure needed for a widespread electronic manifest system. Also, DHS/TSA is currently assessing the potential for a national truck tracking center. There is a need to conduct an initial assessment of the costs and benefits of such a system as related to improvement of emergency response capabilities for hazmat transportation. This effort would include an inventory of current related research activities and how they could be integrated or rationalized across modes and levels of government.
Research Objective
To assess the benefits that electronic shipping papers could provide to the emergency response community and how existing efforts and technologies could be leveraged to achieve them.</t>
  </si>
  <si>
    <t>AT040, Transportation of Hazardous Materials</t>
  </si>
  <si>
    <t>Note: "Revised - this project has been funded under the HMCRP as project HM-05"</t>
  </si>
  <si>
    <t>Motorists Perceptions of Bicyclists on Roadways</t>
  </si>
  <si>
    <t xml:space="preserve">http://rns.trb.org/dproject.asp?n=14217 </t>
  </si>
  <si>
    <t xml:space="preserve">Problem: Bicyclists report they are harassed by motorists when bicycling on the roadways. Motorists often believe that bicyclists are not entitled to use roadways or that roadways that bicyclists are legally entitled to use should not open to bicyclist usage. Share The Roadway signs have been installed by many jurisdictions in an attempt to reduce conflicts between bicyclists and motorists although use of these signs is generally viewed as a stopgap measure at best. This hostile environment can deter bicycling on roadways.
Objectives: This research project would: 1) Survey members of the public regarding their perceptions on bicycling on roadways; 2) determine the reasons why persons who believe bicyclists do not belong on the roadway feel that way; 3) determine if bikeway designation of roadways impacts motorists perceptions of bicyclists’ entitlement to use the roadway; 4) provide other recommendations to increase motorist acceptance of on-road bicycling. </t>
  </si>
  <si>
    <t>Improving Transit and Transportation Agency Coordination to Increase the Safety of Mid-Block Pedestrian Crossings near Transit Stops</t>
  </si>
  <si>
    <t xml:space="preserve">http://rns.trb.org/dproject.asp?n=14175 </t>
  </si>
  <si>
    <t>RESEARCH PROBLEM STATEMENT
Research is needed to document best practices of transit agencies and local transportation agencies coordinating to improve the safety and convenience of pedestrian access to transit.  In particular, case studies should document how agencies have cooperated to address challenging mid-block pedestrian crossings.  When agencies do not coordinate, transit stops may be placed in locations that cause pedestrians to cross the street at challenging mid-block locations, and mid-block crossings near transit may not be equipped with adequate infrastructure (e.g., median crossing islands, pedestrian crossing signals, etc.).  Lack of coordination between transit agencies and local engineering departments may increase safety risks to all pedestrians, particularly transit customers.
Coordination between transit and local transportation agencies is critical when new transit service is being established or existing service is modified.  These changes may create new pedestrian “desire” lines between activity locations and new transit stops, generate more pedestrian trips in an area to use the transit service, or increase the number of transit vehicles operating on surface streets.  In order to maximize pedestrian safety, coordination is needed before these changes are made.
Currently, the level of coordination between transit agencies and local transportation agencies varies widely throughout the United States.  Best practices for interagency coordination on mid-block pedestrian crossings near transit stops should be documented to demonstrate its benefits and encourage cooperation in regions throughout the country.
In addition, this research will document court cases where pedestrians have been injured attempting to access transit in a hazardous crossing environment.  These cases will highlight the question of transit agency liability when planning or amending stop locations and the importance of coordinating with local traffic engineers.
RESEARCH OBJECTIVE
This objective of this project is to create a best practices synthesis report to document excellent examples of transit agency and local transportation agency coordination on pedestrian access issues.  This project is also intended to demonstrate the benefits of this coordination to other regions with transit service throughout the country. 
The best practices report should include case studies of transit agencies and local engineering departments that have worked together on mid-block pedestrian crossing issues when new transit service was established or existing service was modified.  The report should synthesize the outcomes of this coordination in each region, such as:
    Number and types of mid-block crossing improvements made near transit stops
    Changes in levels of customer satisfaction with pedestrian transit access
    Changes in transit ridership
    Changes in the number of pedestrian crashes reported in transit corridors</t>
  </si>
  <si>
    <t>Pedestrian-Vehicle Conflicts Near Schools</t>
  </si>
  <si>
    <t xml:space="preserve">http://rns.trb.org/dproject.asp?n=14173 </t>
  </si>
  <si>
    <t>III. RESEARCH PROBLEM STATEMENT
Pedestrian crashes near elementary and middle schools are a particular concern for communities across the nation that want to provide safe conditions for walking and cycling to school. A recent national study estimated that, from 1991 to 1999, more than 1,190 children aged 5-13 were killed and more than 103,000 children in this age group suffered injuries (not involving school buses) as pedestrians or bicyclists during school travel hours[1]. In a 2004 CDC nationwide survey of parents, traffic-related danger was the second most common reason cited for not allowing children to walk to and from school[2]. The practice of driving children to and from school has, in turn, often contributed to traffic conditions around schools tending to reduce child pedestrian safety.
Many injuries and fatalities could be avoided if traffic operations near schools were made safer, but little research has examined pedestrian crashes at and near schools in detail. More research is needed to understand the factors involved in such crashes, including environmental issues, population or epidemiological considerations, land use patterns, school siting conditions, roadway and traffic design characteristics, motorist and pedestrian behaviors, and other factors. This project should collect and analyze crash/conflict data to identify contributing factors, synthesize existing literature on crashes/conflicts and related treatments in and around school zones, and assess best practices for promoting pedestrian safety in traffic operations at and near schools. The crash/conflict data should be collected from a sample of locations in communities that represent a variety of types of environments for walking to school. The final product should include a summary report for use in child injury prevention or SRTS programs throughout the United States.
V. RESEARCH OBJECTIVE
The objective of this research is to provide an analysis and discussion of the key factors related to crashes and conflicts involving pedestrians in and around school zones. The project will synthesize existing literature on crashes/conflicts and related treatments in school zones and in areas outside the school zone where speeds may not be reduced and special signage does not provide assistance.
The project team will need to perform a feasibility analysis to collect preliminary data and determine the potential for both crash- and conflict-based data analysis for select areas. Based on the results of the feasibility analysis, the project will perform crash and/or conflict data analysis to build upon or refute traditional empirical/anecdotal evidence. The crash/conflict data analyzed will be from a representative sample of a variety of school zone environments. The data and analysis should include crashes/conflicts at times when school is and is not in session, when facilities at schools (such as playgrounds, recreation centers, day care centers, etc.) may be used by children and adults. The study will take into account the use of schools for summer classes and any absence of protection offered during the rest of the school year.
Other important issues that the study should consider include:
    The willingness of students to walk on sidewalks
    The availability of sidewalks on likely paths to school
    The presence or absence of pedestrian safety training for children
    The closing of schools that results in students having to cross busier streets to get to the new location
The use of Geographic Information Systems (GIS) analysis techniques should also be considered. The research will identify safety treatments related to the crash factors identified that may be applied in SRTS programs or other community or town initiatives to improve pedestrian safety in school zones.</t>
  </si>
  <si>
    <t>Determining Factors that Increase Crashes, Injuries, and Perceived Risk at Midblock Locations</t>
  </si>
  <si>
    <t xml:space="preserve">http://rns.trb.org/dproject.asp?n=14164 </t>
  </si>
  <si>
    <t>Problem: Many pedestrian injuries and fatalities occur at midblock locations with and without crosswalks.
Objective:  Use case study analysis and/or regression analysis identify design characteristics of midblock locations that result in an increase in crashes and injuries.  A sample of mid-block pedestrian crashes (taken from police reports) should be analyzed.  Factors that should be included in the analysis include traffic volume, pedestrian volume, the number of travel lanes, travel speed, traffic, crosswalk presence, warning signs, driveways/curb cuts, pedestrian crossing signals, nearby building setbacks, character of the surrounding land use, etc.  By identifying factors with a significant relationship to pedestrian crashes, roadways, signage, and the surrounding built environment can be changed to be safer for pedestrians.  Individual factors can also be analyzed, such as pedestrian age, gender, and physical ability, so that education programs can be targeted to specific groups, as needed.  This research project should also provide general guidelines for when a mid-block crosswalk is appropriate, given a variety of roadway and land use factors.</t>
  </si>
  <si>
    <t>ADD10, Transportation and Economic Development</t>
  </si>
  <si>
    <t>Information Dissemination about the Economic Development Consequences of Transportation Investments</t>
  </si>
  <si>
    <t xml:space="preserve">http://rns.trb.org/dproject.asp?n=14147 </t>
  </si>
  <si>
    <t xml:space="preserve">Transportation investments are becoming increasingly complex. Decision makers must take into account a wider range of factors. These factors include the effects of transportation systems as a stimulant of growth and as a cost of growth. They also include the effects on the environment and on the quality of life within the area served by the transportation system. In some cases, the ability to locate a transportation project in a particular place depends on the consent of residents within that area. For instance, expansion of Interstate highway spurs through urban areas or the siting of a new airport would be highly scrutinized and most likely resisted by local residents. To further complicate the process, decisions concerning transportation investments are increasingly being made at the local level. The devolution of responsibility of transportation projects involves many more partners in the process, which include not only agencies that have traditionally dealt with transportation projects but also entities that deal with economic development and  environmental issues.
The increasing complexity in the decision-making process calls for more research to develop ways of achieving greater dissemination of information and expanded educational efforts. At present, the concepts and the studies concerning the effects of transportation infrastructure on economic development are often not very accessible to this group.  Research is needed on ways to make the analysis and the concepts meaningful to practitioners and decision makers and to educate them about the value of incorporating these concepts and findings into their operations.
Before analysts will begin to do this, they must appreciate the relevance of these effects to transportation investment decisions. Giving the various stakeholders an opportunity to express their preferences for transportation investment is an integral part of the process of defining these issues. Once the issues are defined, then analysts must be able to assign costs and benefits to the various effects of transportation investment, so that informed decisions can be made. This step requires that analysts understand the relevant research that has been conducted and know how to apply it to specific projects. </t>
  </si>
  <si>
    <t>AFD20, Pavement Monitoring, Evaluation and Data Storage</t>
  </si>
  <si>
    <t xml:space="preserve">http://rns.trb.org/dproject.asp?n=14144 </t>
  </si>
  <si>
    <t xml:space="preserve">Problem
In the development and introduction of technological advances in pavement management, pavement design, and other transportation management tools, the most often neglected impediment to implementation is data collection costs. The industry is ripe with examples. Consider, just at the time when we are coming to grips with measurement of resilient modulus of asphalt concrete, the contractor developing the AASHTO 2002 pavement design guide is advocating a shift to a different measure - the dynamic modulus. The emergence of asset management technology will require a future shift from traditional knowledge based engineering solutions to economics based decisions supported with engineering technology. The practical bottom line; to enable the realization of cost savings potential promised by the new and ever more sophisticated planning tools available today, the realities of data collection costs and benefits must be addressed.
In the current day-to-day grind of managing pavements, state and local transportation agency officials are under increasing pressure to justify expenditure of public funds. Collection of field data to support the needs current pavement management systems is an undervalued cost that can seriously undermine the benefits of such systems. Justifying the need for investment in modern data collection technology to feed the "system" can be a very hard sell in a laymen-dominated political environment. It is still the case that critical assumptions, due to lack of measured data, can be used to control, manipulate, or bias the end benefit of these systems. This diminishes the perceived usefulness of the systems and tends to relegate them to the level of routine paper work.
At the other extreme is the availability of truly wonderful and advanced measurement technologies. To day, more than ever, we have the ability to "measure it with a micrometer" while we "mark it with chalk" in order to "cut it with an axe". Thus the essence of the problem. If the end benefits equate to an axe swipe, must we invest in a micrometer to measure the location? As engineers, we know the answer lies in balance between the two extremes, but where? At present, the best we can do is equivocate data collection costs against the magnitude of pavement construction and rehabilitation costs. We need to develop a simple framework and concepts that can be used to equate the benefits derived from pavement and asset management systems relative their reliability,  to the associated cost for collecting supporting data.
Objective
The objective of this of this research and development project is to produce an end product that can be used by state and local highway agency officials as guidance to assess data collection requirements relative to pavement management decisions in cost related terms. </t>
  </si>
  <si>
    <t>Costs and Benefits of Pavement Management Data Collection</t>
  </si>
  <si>
    <t>Parking Strategies to Reduce Environmental Impacts and Improve Place</t>
  </si>
  <si>
    <t xml:space="preserve">http://rns.trb.org/dproject.asp?n=14113 </t>
  </si>
  <si>
    <t>Problem Statement
One of the most powerful factors reinforcing auto-dependent development and precluding alternative transportation modes is the prevailing assumption that all new suburban developments will be served by free parking. Furthermore, local governments’ zoning codes generally require more than five parking spaces per 1,000 square feet of commercial development. Although these requirements can be justified on the basis that they protect surrounding neighborhoods from "spillover" parking, they may lead to excessive investment in parking. It is estimated that in urban areas, every vehicle will require between 5 and 10 parking spaces. Parking lots not only consume ever-increasing amounts of urban land that could be used for productive land uses, but they result in nonpoint source pollution that degrades water quality.
There are other costs associated with “free” parking. The "opportunity cost" of parking at an unmanaged lot, which the owner assumes has no land value, is estimated to cost $2 per parking space per day or approximately $500 per parking space per year. Structured parking will have substantially higher costs, but will still be given away for free. The availability of “free” parking may also bias the mode choice towards driving instead of using transit and other lternative modes of transportation.
Shoup and Willson have completed studies on parking pricing. Advocates of New Urbanism and other urban designers along with developers of mixed-projects have proposed designs that mask the impact of parking on the urban environment. Beyond these efforts, little research has been completed on the topic. Free parking is so widely accepted that little consideration has been given to changing public policies that could have a dramatic affect on urban form and transportation. Proposed Research
This project will explore alternative strategies for addressing parking needs to reduce the intrusion of impervious surfaces on the landscape and its visual impacts and degradation of urban design. The research should address the following issues in parking policy, design, supply, configuration, and management: • Reduce environmental impacts. A study of successful efforts to reduce the parking space requirements and associate impacts of runoff will be conducted. Case studies will be prepared of the various approaches, such as alternative parking configurations, smaller stall sizes, shared parking, reductions in total supply, and the development of structured parking. • Create more attractive and walkable places. A survey of best practices in the design and management of parking will be conducted to show how to create more vibrant urban places with a pedestrian orientation, and how to develop policy instruments and improved planning practices for estimating parking demand and induced demand as a function of the price of parking. A combination of recognized municipal leaders, parking consultants, and parking authorities will be polled to obtain leading edge examples where parking supply is used for multiple purposes, distributed throughout the development, and/or priced to encourage efficient use.
• Estimate the true cost of parking. The direct costs and indirect effects of parking will be developed. Direct costs include cost of building, maintaining parking lots, mitigation, and the associated cost of land. Indirect affects will include runoff and the associated water pollution and the impact on urban design and urban form.</t>
  </si>
  <si>
    <t>Investigating the Disaggregate Travel Behavior Effects of the Built Environment</t>
  </si>
  <si>
    <t xml:space="preserve">http://rns.trb.org/dproject.asp?n=14112 </t>
  </si>
  <si>
    <t>Problem Statement
Increasingly, changes in neighborhood and commercial area design are being proposed and implemented in urban areas as solutions to transportation and environmental problems. Travel behavior varies depending on the design of the built environment at both ends of the trip. It is likewise affected by the quality and availability of transportation facilities and services, which connect trip ends. The extent to which proposed changes in land use mix, density, and improvements in connectivity between complementary uses (live, work, play) increase transit and nonmotorized travel, reduce auto dependence, improve air quality, reduce fuel consumption, and benefit public heath is clearly worthy of both further exploration and translation into better planning and analysis tools. Research on the effects of the built environment on travel choice has become more sophisticated over the last decade and now includes many detailed forms of household-, person-and trip-level analysis. However, further work is needed to refine and fill gaps in these analyses to make existing models more responsive and to develop new tools that more accurately predict travel and other effects of urban form. Improvements in our ability to assess land use and transportation relationships can be achieved both through recent gains in the quality of land use, travel, and transportation service data and through integration of these types of data in ways that are more comprehensive and readily consistent with available and developmental travel demand forecasting processes.
Advanced parcel-level data on the built environment need to be fully and jointly incorporated with disaggregate trip-level transportation data into analyses that predict how land use affects travel choice. Enhanced information ranging from microscale aspects of the built environment, on the one hand, to transportation system performance for peak, off-peak, and weekend travel on the other, is critical in better explaining travel behavior. The development of new and improved methods to incorporate these data into the travel demand modeling process is crucial for the creation of land use and transportation policies that will provide multiple favorable outcomes, including both mobility and health improvements.
Proposed Research
The proposed research would quantify the effects of urban form and site design on a full range of travel behavior and related choices in context with fully described data on transportation service and the local built environment. The research would address the differences in revealed travel behavior related to the built environment at the locations where travel takes place.</t>
  </si>
  <si>
    <t>AFD60, Flexible Pavement Design</t>
  </si>
  <si>
    <t>Develop Guidelines for Design and Construction of Ultra-Thin HMA Overlays</t>
  </si>
  <si>
    <t xml:space="preserve">http://rns.trb.org/dproject.asp?n=14043 </t>
  </si>
  <si>
    <t>III. RESEARCH PROBLEM STATEMENT
Ultra-thin HMA overlays are defined as having a thickness of 1 inch or less which are to be used as the final wearing surface.  In addition to the economic benefit of ultra-thin overlays there are many instances where the use of very thin overlays is desirable.  Often geometric concerns, bridge clearances, curb and gutter situations mandate that only thin overlays are possible.   A research study is required to provide a concise guide to designing and constructing these overlays
V.   RESEARCH OBJECTIVE
A study is required to provide guidelines on the design and construction of ultra-thin HMA overlays.  It is critical to summarize the existing design methodologies, material quality requirements, construction and performance information.  It is necessary to develop concise evaluation, design and construction guidelines for DOT's wishing to evaluate the use of these materials. These recommendations must include minimum aggregate quality requirements.  It is intended that these mixes should also be designed by DOT's using available equipment (Superpave) with possible additional performance tests.  The performance tests will as a minimum evaluate both rut and reflection cracking resistance.  It is also critical to include the condition of the existing pavement in establishing the desirable engineering properties of the ultra-thin overlay.
This project will be divided into 2 phases.  In Phase 1 the researchers will;
a) Summarize existing DOT practices and performance.  This will include visits to at least 4 States which have placed Ultra-thin overlays.  As a minimum the performance will as a minimum include rutting, reflection cracking and skid performance
b) Use the information collected to develop guidelines on;
         .how to select candidate projects (including structural evaluation and recommendations on when ultra thin overlays are not recommended)
         .how to design these mixes based on existing pavement condition, pavement type and environment
         .construction recommendations (QC/QA recommendations)
In Phase 2 the research agency will be required to work with 3 DOT's.  Each state DOT nominates two pavements for consideration as candidates to receive an ultra-thin overlay.  The researchers will conduct a structural evaluation of both and then to design ultra thin HMA mixes based on their locally available aggregates.  The results from the evaluation and mix design will be presented to DOT engineers.
All the findings from Phases 1 and 2 will be included in the studies final report.</t>
  </si>
  <si>
    <t>Long-Term Transportation System Impacts on Communities</t>
  </si>
  <si>
    <t xml:space="preserve">http://rns.trb.org/dproject.asp?n=14035 </t>
  </si>
  <si>
    <t xml:space="preserve">Brief background of issue and its importance: During the 1950s and 1960s prior to the adoption of important national protections for communities such as the Civil Rights Act, Section 4(f), NEPA and the Uniform Act, many communities were severely disrupted by construction of the interstate highway system. Starting in the 1990s portions of the system have reached the end of their design life. State departments of transportation, metropolitan planning organizations and local agencies are struggling with the developing cost effective methods for reconstructing aging viaducts and bridges while simultaneously incorporating modern designs for safety and mobility and better integrating the facilities with both the natural and human environment. Several recent well known examples of such projects include the Central Artery in Boston, the Cypress Freeway in Oakland and the Embarcadero and Octavia Street in San Francisco. Other examples under study include the Gowanus Expressway in Brooklyn and the Alaska Way Viaduct in Seattle. All of these examples are the tip of the iceberg. In the next several decades most states and major metropolitan areas will have to grapple with costs and complex web of issues surrounding urban reconstruction. Given both the complexity and scale of these types of projects, it is critical to provide information about effective methods for identifying, understanding, engaging and resolving community impacts associated with reconstruction of major facilities. The costs associated with poor approaches include delay, increased costs and continued long-term damage to people and communities. Exact nature of the question(s) to be addressed This work would identify techniques for measuring the long-term cumulative effects from major transportation projects on minority and low-income communities. Impacts may include changes in population growth, housing and development, access to jobs and services, community cohesion and provision of services. Ideas about potential methodology Methods for conducting the work could include time-series analysis looking before and after construction and re-construction of major facilities. It also may include assessment of similar matched pairs to determine the effects from the construction or reconstruction against outside or independent trends. Policy or planning relevance This work is critical for policy issues facing State departments of transportation and metropolitan planning organizations in the areas of funding, system planning, asset management, corridor planning, project development and systems operation and management. Public transportation providers also could find the work relevant in systems planning and corridor planning, project development and systems operation and management.ï¿½ Public transportation providers also could find the work relevant in systems planning and corridor planning.ï¿½ </t>
  </si>
  <si>
    <t>AT025, Urban Freight Transportation</t>
  </si>
  <si>
    <t>Synthesis Report of BESTUFS (Best Urban Freight Systems) Research</t>
  </si>
  <si>
    <t>http://rns.trb.org/dproject.asp?n=13958</t>
  </si>
  <si>
    <t>1. Description of the Need
Commercial transport is crucial to the modern urban economy based on decreasing stocks, fragmented shipments and frequent deliveries, express and urgent deliveries and a fast growing home delivery market. In European cities, it has been calculated that each job generates one delivery or pick up per week and this ratio is increasing. Urban freight transport is also responsible for a major share of transport related Nox, PM and CO2 emissions in cities. In Europe, the BESTUFS network was created to analyze these multiple issues. BESTUFS (Best Urban Freight Solutions/www.bestufs.net) is a European Union funded network bringing together experts, projects, research results and stakeholders. In its first phase (2000-2003), BESTUFS was a connecting place for European and national research, clustering projects and activities. In its second phase (2004-2008), BESTUFS has added to its previous activities a unique academic research field by working on urban freight data harmonization and modeling.
2. Research Objective
This Reports aims at presenting European best practices in urban freight and assessing their relevancy to US practitioners. BESTUFS today is the most influential urban freight network in Europe. It provides the identification, collection and dissemination of good practices around European cities and an analysis of success factors for city logistics schemes. A synthesis report of BESTUFS activities (with insights from other European urban freight projects) would provide :
-         urban freight data for large European cities, comparing methodologies and results
-         up to date information on city access, parking regulations and access time restrictions and enforcement support, including recent environmental standards for delivery truck access in cities
-         an analysis of changing urban transport due to e-commerce and last mile deliveries
-         land use planning and business models for urban consolidation centers
-         information on ITS in urban goods transport
-         information on urban waste logistics and urban construction logistics, including waterborne and rail transport experiments.
These findings will be discussed in view of their relevancy to US stakeholders.
A concluding chapter will present BESTUFS findings on the overall effects of urban freight transport in terms of economic, environmental and social/safety issues. The chapter also will identify research needs, based upon these findings.</t>
  </si>
  <si>
    <t>AW030, Marine Environment</t>
  </si>
  <si>
    <t>Controlling Air Emissions At Marine Port Terminal Operations</t>
  </si>
  <si>
    <t xml:space="preserve">http://rns.trb.org/dproject.asp?n=13903 </t>
  </si>
  <si>
    <t xml:space="preserve">Problem:  In response to increased global trade, freight imports at marine ports around the United States (US) continue to grow at record levels. The US is the world's largest import market; in 2006, imports to the US rose by 5.5 percent to a high of 1.8 trillion dollars. While two of the US’s top three import partners, Canada and Mexico, have land bridge connections to the US, China and other Asian markets are becoming a larger portion of US imports which in turn is increasing activity at marine ports. The US mainly imports equipment goods, manufactured products, hydrocarbons and chemicals.
            With increased global trade comes increased concern from communities surrounding port complexes regarding ambient air quality and potential health effects from both localized and regional increased air pollution. Almost all port emissions come from diesel-fueled source categories including ocean going vessels, on-road drayage trucks, cargo handling equipment, harbor craft (tugs), and railroad locomotives. While the Federal Clean Air Act (CAA) and its subsequent amendments regulate these sources, the CAA is often not enough to control localized air quality issues because the emission sources are either exempt from federal regulation (i.e. foreign flagged vessels) and/or are diesel equipment with low turnover rates. Additionally, the larger US Ports, especially the Ports of NY/NJ, Los Angeles, Long Beach, and Tacoma, are increasingly serving the national market creating further local conflict as local air quality concerns must be weighed against the need to transport goods to support the U.S. economy. For example, about one of every three containers that enters/exits the United States goes through the Los Angeles/Long Beach (San Pedro Bay Ports) port complex. This research topic will address the dichotomy between local and regional air emissions controls and an emphasis on expanding the goods movement network in the absence of a national policy. This research topic will also seek to identify standard air quality control measures that may be implemented industry wide.
            The United States Environmental Protection Agency (USEPA) establishes the National Ambient Air Quality Standards (NAAQS).  Maximum pollutant concentrations generally shall not exceed short term or annual standards. Pollutants that have ambient air quality standards are known as criteria pollutants.  The criteria pollutants of primary concern in the Port industry include ozone (O3), carbon monoxide (CO), nitrogen dioxide (NO2), sulfur dioxide (SO2), particulate matter less then 10 microns (µm) in diameter (PM10), and particulate matter less then 2.5 µm in diameter (PM2.5). Additionally Toxic Air Contaminants (TACs) are becoming more and more of a concern as regional and local jurisdictions try to assess health risks from air emissions. Some TACs, like diesel particulate matter (DPM), have been identified as cancer causing chemicals while others have non-cancer health effects due to short-term acute exposure or longer term chronic exposure for a significant fraction of a lifetime.  While not currently regulated, greenhouse gas emission from the transportation industry will become a dominant concern on a national and global front.
            The USEPA is responsible for implementing most aspects of the CAA.  Basic elements of the CAA include the NAAQS for major air pollutants, hazardous air pollutant standards, attainment plans, motor vehicle emission standards, stationary source emission standards and permits, acid rain control measures, stratospheric ozone protection, and enforcement provisions. The USEPA, through the CAA, has attempted to regulate Port emission sources. To reduce emissions from marine diesel engines, USEPA established emission standards for new engines, referred to as Tier 2 marine engine standards.  The Tier 2 standards will be phased in from 2004 to 2007 (year of manufacture), depending on the engine size (USEPA 1999).  To reduce emissions from on-road diesel trucks, USEPA established a series of cleaner emission standards for new engines, starting in 1988.  The final and cleanest standards apply to engines manufactured in year 2007.  Complete phase-in of the 2007 standards for new engines will be accomplished by 2010. The USEPA also set sulfur limitations for non-road diesel fuel, including locomotives and marine vessels. To further reduce emissions from switch and line-haul locomotives, USEPA established a series of cleaner emission standards for new or remanufactured locomotive engines.  Tier 0 standards apply to engines manufactured or remanufactured from 1973 to 2001.  Tier 1 standards apply from 2002 to 2004.  Tier 2 standards apply starting in 2005.
            International marine transportation related air quality standards also exist. The International Maritime Organization (IMO) MARPOL Annex VI, which came into force in May 2005, set new international NOx emission limits on Category 3 (&gt;30 liters per cylinder displacement) marine engines installed on new vessels retroactive to the year 2000.  In April 2006, the US ratified Annex VI and in doing so, the US now can apply to the IMO to designate sulfur emission control areas (SECAs) that would limit the sulfur level in fuel to 15,000 ppm, down from the current 45,000-ppm. These sulfur limits would be consistent with the European Commission’s proposed a 15,000-ppm sulfur limit on all ships in North Sea, English Channel and Baltic sea and all regular passenger vessels. Recently, the World Shipping Council (WSC) announced their endorsement of the US government’s proposed SECAs in certain coastal areas and new engine system standards.
            Increasingly, US ports are being targeted by communities, local governments, and environmental groups because of their increasing contribution to local emissions. For example, the San Pedro Bay Ports will contribute 24 percent of the local air basin’s NOx and 73 percent of SOx by 2020 largely from the port vessels and drayage trucks. This increase is a significant problem for the local air quality management agency, which must reach attainment under the CAA to obtain Federal transportation funding. As ports grow and urban communities encroach on industrial port areas, health and environmental justice issues also dominate local politics. For example the local air district estimates that about 70 percent of the background airborne cancer risk in the Los Angeles air basin is due to particulate emissions from diesel-powered on- and off-road motor vehicles.  Without clear communication between regulatory agencies, US ports and the shipping industry as a whole, strategies may vary setting up a complex network of regulations that may stymie the important air emission reduction goals inherent in the local plans. Implementation also remains a challenge.
 Objective:  The objective of this research will be to identify comprehensive air quality standards and/or measures that could be implemented industry-wide to reduce air emissions, while acknowledging that some regions may require additional measures to address localized problems. This research will also identify efforts to balance local air quality concerns within a national freight movement framework. This research topic will address a number of issues related to regulating air quality at US ports, including:
1.         Will localized plans move cargo to other less regulated ports?
2.         Will pollution increase on a national scale if cargo is diverted?
3.         Will the public health derived measures control for GHG emissions?
4.         Are there elements of such plans to be implemented industry-wide? </t>
  </si>
  <si>
    <t>AW030, Marine Environment (AW030)</t>
  </si>
  <si>
    <t>Improving the Adoption of Ballast Water Treatment Systems</t>
  </si>
  <si>
    <t xml:space="preserve">http://rns.trb.org/dproject.asp?n=13901 </t>
  </si>
  <si>
    <t xml:space="preserve">Problem:  Exotic Species are spread world wide through ballast water.  The IMO had proposed standards for the treatment of ballast water.  These standards when adopted will require monitoring and enforcement if the desired outcome is to be effective. The states of California and Michigan have Environmental Permitting processes in an effort to control the ballast water discharges.  However types of ballast water treatment equipment will change as technology and science improve.  Additionally regulatory agencies may adopt newer more stringent standards requiring replacement equipment.  Carriers and shippers may be mandated to use this technology, but there is frequently a lag between the technological improvement and the legislative action requiring the improvements.  There is further delay as companies wait until the final due date for installation because there is no incentive to incur the financial costs earlier.  This delay may be extensive and inhibit adoption of the best solution to a problem.
            Carriers should be rewarded for moving beyond compliance when installing, maintaining, and operating equipment.  Shippers should be rewarded for using carriers that are compliant and further rewarded for using those carriers that move beyond compliance.  Ideally there should be a positive reinforcement for carriers and shippers that want to move beyond compliance. The EPA’s Smartway Transportation Program is an example of positive reinforcement but it does not include marine transportation.  The capital cost of installing ballast water treatment systems will be considerable and carriers currently have little economic incentive to install them. Grants, low interest loans, and tax incentives have a history of promoting early adoption of anti pollution technology and should be considered as possible positive reinforcement actions to promote Ballast Water Management.
            Awards and other forms of formal recognition by environmental groups, governmental and non-governmental agencies of shippers who use vessels that proactively address the spread of Invasive Species would be very helpful in moving the adoption of ballast treatment processes forward.  This involves assessing methods to encourage, reward and recognize carriers and shippers who early adopt the best available ballast water treatment technology.
Objective:  To encourage adoption of the best available technology for ballast water treatment by creating reward and recognition processes for carriers and shippers who use early adopter carriers.  A study should cover such questions as:
1.                  What rewards and recognition processes will be effective in encouraging adoption?
2.                  How can these processes be self-sustaining over the long haul?
3.                  Are there other examples such as EPA’s Smartway Transportation Program and the European Green Ports that may be adopted and adapted for ballast water treatment?
4.                  Which organization(s) should take ownership of a proactive program supporting the best ballast water treatment systems?
The answers to these questions could result in helping to establish a proactive reward and recognition program that could accelerate the adoption of ballast water treatment technologies. </t>
  </si>
  <si>
    <t>Marine Environmental Windows: Beyond Process to Performance</t>
  </si>
  <si>
    <t xml:space="preserve">http://rns.trb.org/dproject.asp?n=13898 </t>
  </si>
  <si>
    <t>Problem:  Environmental work windows (“windows”) are one of the management tools promoted by the state and federal fish and wildlife agencies to protect endangered species and which enable necessary dredging and marine construction for the purpose of marine transportation and trade.  The windows are specified periods of the year when marine construction activities (e.g. dredging and dredged material disposal, pile driving for wharf construction) are permissible.  State and federal fish and wildlife agencies under their respective endangered species laws have determined that adverse impacts to fishery and wildlife species do not likely occur or are below a minimum threshold during these seasonal periods.  The question recommended for study is whether environmental windows are a supportable management tool that achieves the goals of enabling marine construction projects, such as dredging and dredged material disposal, to be completed while simultaneously protecting endangered fishery and wildlife. 
            The issue with environmental windows for dredging and dredged material disposal is that it is difficult to complete needed dredging within a very “short”window- time frame (in S. F. Bay, the window is about 4-5 months).  Another issue encountered in the San Francisco Bay region, is that there is a shortage of contractors and equipment and  limited disposal site availability to accommodate the approximately 4mcy of annual maintenance dredging for all sponsors during this brief window.  All dredging projects require permits from multiple agencies (including lengthy endangered species and essential fish habitat consultations) and careful coordination and planning among agencies and project sponsors, is essential or permits are not issued and work uncompleted.  The research question today is whether, under the “windows” regulation, there has been progress in the regional windows’ programs established over the past several years to address the issues discussed above.  Is there a reliable, safe, and efficiently-operating marine transportation system and a healthy marine environment as a result of the windows’ programs?  Has an enhanced efficiency of the marine transportation system been achieved and commensurately has there been a gain in making scientifically-sound, resource-based decisions?
Objective:  Evaluate the effectiveness of the environmental windows’ programs specifically considering the contribution of and gaps in scientific studies and in the identification of impacts of dredging and disposal on the health of fisheries.  A study should cover such questions as:
1.  What are the windows’ permit process frameworks?
2. In coastal regions, nationwide, what scientific studies have been conducted and what data collected?
3. How are regional environmental windows’ planning teams organized for deciding on studies and funding, collecting and evaluating scientific information for disposal permit decisionmaking?
4.  How has scientific information been used either in the environmental windows’ setting process and/or in specific decisions on dredging and disposal projects?
5.    Has science protected the fishery?  Has “science” enabled dredging projects to move forward?  If so, how?
6.   Has science sufficiently supported and made a difference in aiding decisionmaking on dredging?
The answers to these questions could result in changes to the windows’ process frameworks in coastal regions thereby enabling necessary dredging and other marine construction to go forward more expeditiously while serving to protect endangered species.</t>
  </si>
  <si>
    <t>Applying Multimodal LOS to Areawide Analysis</t>
  </si>
  <si>
    <t>http://rns.trb.org/dproject.asp?n=13887</t>
  </si>
  <si>
    <t>RESEARCH PROBLEM STATEMENT
The need for funding for new highways and capacity improvement projects far exceeds the available resources.  The practical reality is that we can no longer build our way out of congestion.  Increasing the ability to manage and operate the system, reducing demand through better coordination of land use and transportation, and providing choices to travelers for using alternate modes are major themes in TEA-21.
Many State governments have enacted legislation that guides development in harmony with transportation and other infrastructure.  This type of development favors pedestrian, bicycle and transit modes.  This type of development can be used to promote mixed-use, interconnection, and dense land uses that are pedestrian and transit friendly in urban form and design.
Developers of projects of various sizes are increasingly seeking multimodal options to reduce or eliminate their anticipated impacts on the transportation network in other areas. 
Current NCHRP Project 3-70 would provide a building block for facility level multimodal LOS.
A significant amount of literature exists that considers the potential to moderate travel demand through changes in the built environment.  This literature is summarized in an article by Reid Ewing and Robert Cervero in the Transportation Research Record 1780 (2001).  It demonstrates the responsiveness of travel demand to changes in density, diversity, design, and regional accessibility.  The literature on the connection between land use and transportation suggest that traditional neighborhoods, with high density, mixed land use, with a gridded street network and transit-oriented design features, have the potential to reduce the number of vehicle trips taken and the vehicle-miles of travel.
RESEARCH OBJECTIVES
The research will develop a methodology for areawide multimodal transportation planning.  It will develop multimodal areawide conceptual frameworks and tools for the analysis and planning of development serving all modes of transportation rather than over-relying on the automobile.</t>
  </si>
  <si>
    <t>Impact of Land Use and Zoning on Urban Goods Movement</t>
  </si>
  <si>
    <t xml:space="preserve">http://rns.trb.org/dproject.asp?n=13867 </t>
  </si>
  <si>
    <t xml:space="preserve">Description of the Need. Land use and zoning decisions can have an impact on the efficiency and movement of urban goods within an urban area by determining the location of the origins and destinations of goods.  These origins and destinations, as well as restrictions on time and routes followed, all impact the efficiency and cost of urban goods movements and the costs to consumers and producers.  Often, land use and zoning decisions are made without consideration to the efficient flow of commodities within the urban environment.
Research Objective.  A research synthesis project is needed to identify both positive and negative impacts of land use and zoning decisions on commodity flows and costs. A second but also significant objective is to identify the most efficient arrangements of land uses for the economic movement of commodities within an urban area. This synthesis would focus on US practice, but also should consider practices elsewhere; especially in Europe where there are active initiatives to promote urban goods movement planning, and in Canada, where urban land use and transportation plans are well-linked. </t>
  </si>
  <si>
    <t>ADB20, Telecommunications and Travel Behavior</t>
  </si>
  <si>
    <t>Role of Network Attributes on Telecommuting</t>
  </si>
  <si>
    <t xml:space="preserve">http://rns.trb.org/dproject.asp?n=13817 </t>
  </si>
  <si>
    <t xml:space="preserve">Past studies evaluating the role of ICT on travel behavior have largely limited the focus to socio-economic and demographic studies.  New research is needed to examine the role of network attributes in affecting travel behavior.  The hypothesis is that an area not extensive in transportation resources may prepare its residents to telecommute more frequently than an area with rich transportation resources. </t>
  </si>
  <si>
    <t>Determining The Economic Value of Roadway Access Management</t>
  </si>
  <si>
    <t xml:space="preserve">http://rns.trb.org/dproject.asp?n=13779 </t>
  </si>
  <si>
    <t xml:space="preserve">Access management on roadways has been demonstrated to have significant benefits in terms of reducing the costs of traffic crash injuries, traffic crash property damage, and travel delays. Most safety research studies have shown overall crash rate reductions from managing access to be on the order of 40 to 60 percent. Reductions of personal injury crashes are somewhat lower but still significant. Literature on the traffic operations impacts of access management is somewhat more limited, but indicates that access management can provide significantly positive benefits in terms of reduced travel delay and improved traffic level of service. Even more limited research exists on the impacts of access management on commercial business activity and land development/land values, but it consistently indicates a neutral economic impact in most situations. In cases where access management produces large gains in mean travel speed, the economic impact on business activity and land development may actually be positive. There is little literature on the impact of access management on the environment, for instance air quality, noise, energy efficiency, and greenhouse gas emissions.
This research is intended to provide a comprehensive economic evaluation of the value of roadway access management from an economic viewpoint. The analysis should consider safety, travel time/delay, business and development, and environmental impacts. The research should be conducted from a national perspective, e.g. it should indicate what the expected returns on investment would be from the nationwide application of sound access management practices. However, it should also provide guidance so that state DOTs, regional transportation agencies, and local governments can make customized assessments of the potential returns on investing in an access management program.
This research should be useful to national level policymakers, state DOTs, metropolitan planning organizations, regional planning agencies, developers, and others interested in access management. This research will be valuable in updating the TRB Access Management Manual.
</t>
  </si>
  <si>
    <t>Case Studies of Model City/County Ordinances that Support a Vibrant Pedestrian Network</t>
  </si>
  <si>
    <t xml:space="preserve">http://rns.trb.org/dproject.asp?n=13743 </t>
  </si>
  <si>
    <t xml:space="preserve">RESEARCH PROBLEM STATEMENT
An increasing number of communities are working to provide more comfortable and convenient pedestrian networks.  They seek greater pedestrian safety and security to improve access to activity locations and public transit, mitigate growing traffic congestion, and reduce the community costs of private auto travel.  Walking is also being encouraged to improve personal and public health, provide recreation, and create economic benefits.  The communities that have been most successful at promoting pedestrian transportation options recognize that a safe and usable pedestrian environment requires much more than meeting minimum national standards.  High-quality pedestrian environments are places where pedestrians are anticipated, encouraged and will congregate.  These communities are developing new ordinances and design guidelines to encourage mixed-use development patterns and streets that serve a variety of transportation modes.  There is a need to share information about the tools used by leading communities to develop transportation systems that support pedestrian activity.
This research will document the regulatory, financial, and administrative tools used by communities to create vibrant pedestrian networks.  Case studies should be collected from local municipalities, counties, and states.  These case studies should identify the tools and methods being employed; fully document the approaches used; cite the purpose and justification behind the initiatives; discuss political opposition or support; summarize the final ordinances that were adopted; and provide overall reflections on the process.
The range of tools will include roadway design guides and subdivision, zoning, parking or other ordinances that support pedestrian safety and mobility.  Specific elements to be included in the case studies may include topics such as:
·         Zoning overlays and transit oriented zones
·         Form-based codes and traditional neighborhood design rather than use-based codes
·         Parking location, provision ratios, reduction incentives and mitigation opportunities
·         Use of impact fees and developer contributions for pedestrian amenities
·         Design guidelines regulating building setbacks, orientation, height and massing, fenestration and entries
·         Qualitative rather than quantitative green and open space requirements
·         Requirements for amenities in commercial and employment zones, such as showers and changing facilities
·         Landscape and shade elements, street furniture and sidewalk characteristics to permit resting and gathering
·         Street widths, curb radii and road elements to reduce vehicle travel and turning speeds
·         Access control, driveway width and spacing, and signalized/non-signalized intersection spacing (block size)
      Pedestrian safety laws (what are the fines, penalties, etc. for hitting a pedestrian or failing to yield)
      Enforcement of pedestrian safety laws
        Local funding measures (and/or enabling State tax law) for greater investment in pedestrian infrastructure    
RESEARCH OBJECTIVE
The objective of this research is to provide examples, highlight best practices, and discuss advantages, effectiveness, and any shortcomings of provisions supporting vibrant walking environments in zoning ordinances, subdivision regulations and design guidelines.  The growing numbers of communities interested in implementing new tools for pedestrian-oriented places will benefit from the best practice case studies and research summary report.  </t>
  </si>
  <si>
    <t>AHB20, Freeway Operations</t>
  </si>
  <si>
    <t>Security/Hardening of Transportation Management Systems</t>
  </si>
  <si>
    <t xml:space="preserve">http://rns.trb.org/dproject.asp?n=13741 </t>
  </si>
  <si>
    <t>Research Problem Statement: The purpose of this project is to research methods and develop recommended practices on increasing or “hardening” the security of Transportation Management Systems (TMS’s). The research will cover how the “hardening” for both logical and physical security can be addressed throughout the life cycle of a TMS. This project will focus on TMS that support the traditional traffic management roles and functions for traffic signal control, freeway management, and sub-system components (e.g., field devices, control software, system software, communication network, links to share information with stakeholders, control center (TMC)).
TMS’s have the potential to play a vital role in managing traffic during and following emergencies. The surface transportation network, whether it is directly affected by a disaster or not, is always the means by which response, recovery and evacuation is accomplished. The control center of TMS’s contain the staff and resources that are critical to ensure the efficient and effective response, recovery, and evacuation that may be required during various types of emergencies. TMC’s provide a number of functions and perform tasks that are required for emergency transportation operations.
The primary audience is the team of individuals who are responsible for managing and operation of TMC’s, security and traffic management consultants that advise those individuals, and by public safety interests that may work with transportation agencies to protect our nation’s highways and transit facilities. This includes not only the members of the transportation operations community but also those involved in local, state and federal emergency management who jointly operate or use the information generated from these facilities in emergency situations and other conditions. This technical reference is intended to be a document to assist practitioners who may be involved in or responsible for planning, designing, implementing, managing, operating and maintaining TMC’s. It is not, however, intended to serve as a detailed design guide but is intended to cover in significant detail the issues to consider related to increasing all aspects of security throughout the life cycle of the TMS or TMC.
Background: TMS’s are a critical infrastructure component that allows agencies to proactively manage and control traffic in response to changing traffic and roadway conditions. These systems allow the control center to collect information and communicate with field devices, to collect and process data to make intelligent decisions based on the conditions of the roadway network, to share information with others whose work impacts the surface transportation system, and to provide information to travelers on the roadway and transit system conditions in the region. The integrity, reliability, performance and survivability of these systems are critical to allowing agencies to manage and control traffic during normal conditions and emergencies.
The security of TMC’s is a critical issue that agencies need to continually address throughout its entire life cycle. If the TMC or the functions it provides is damaged or compromised, it will limit its ability to manage and control traffic and coordinate with other interests in supporting the emergency  transportation operations needs of the region. By continually assessing and enhancing the security throughout the life cycle of a TMS and TMC, agencies will ensure the desired levels of performance and reliability are sustained.
This project will build off of the information that will have been compiled projects that have been recently completed by FHWA titled: 1) Protecting the Nations Transportation System Telecommunications Infrastructure, 2) Emergency Transportation Operations Data Needs, and 3) Assessing Security of TMC’s. This project will build off of these efforts by providing guidance and recommended practices on how to consider security throughout the life cycle of a TMS and consider the key issues to consider for the various sub-systems (e.g., TMC’s, software, databases, internet applications). It will also identify and proven and recommended practices from other related industries that are appropriate to TMS’s.
In addition TMC’s have evolved over the last several years to become a nerve center for a wide array of data, communications and surveillance systems. The data collected, information available to share, ability to coordinate with other interests in a region, and functions provided has positioned TMS’s and TMC’s to be used as the Emergency Management Center (EMC) as well as the Transportation Management Center. Several factors have accelerated this:
• Increased sophistication and breadth of information gathered at TMC’s;
• Increased concerns over protection of critical transportation infrastructure;
• Terrorist threat from using vehicles (aircraft, LNG tanks, gasoline tractor trailers) as weapons;
• The lack of pre-existing emergency command facilities; and
• Lessons learned from TMC during disasters (e.g., earthquakes, hurricanes) and emergencies (e.g., 9/11)
TMC’s have been used and have the potential to address an important homeland security need, namely local emergency transportation operation. Specific and related experience exists that can add to the state of knowledge and state of practice in this wider role of emergency operations. Experience exists in a number of related industries and transportation applications that can be synthesized. These include:
• Experience from TMC’s during emergencies and disasters;
• Experience of those TMC’s acting as local, state or regional emergency management centers;
• The relationship between first response and transportation incident detection and abatement;;
• Institutional issues working across agencies;
• How to assess and integrate the security throughout the life cycle of a TMS;
• Influence of serving as a permanent or temporary command post for emergency transportation operations on how security is addressed throughout the life cycle of a TMS;
• How to integrate the considerations of emergency transportation operations throughout the life cycle of a TMS; and
• Operational issues in cooperating workforces, in particular physical and logical access.</t>
  </si>
  <si>
    <t>Crash Walls vs. Guard Rails in Urban Transit Projects</t>
  </si>
  <si>
    <t xml:space="preserve">http://rns.trb.org/dproject.asp?n=13724 </t>
  </si>
  <si>
    <t>AR055, Rail Transit Infrastructure</t>
  </si>
  <si>
    <t>RESEARCH PROBLEM STATEMENT
            In urban areas where light rail transit (LRT) tracks are located next to existing freight railroad tracks because of limited right-of-way availability, freight tracks are often located less than 25 feet from the nearest LRT track. In situations where freight tracks are located next to an LRT aerial guideway, AREMA guidelines require crash walls at all piers of the LRT structure support locations to protect the guideway from possible impacts that might be caused by a derailed  freight train. These crash walls are massive in size, have a significant visual impact on the surrounding urban environment, and are expensive to build.
            As an alternative to using crash walls mandated by AREMA, this research proposal suggests the use of guard rail on the freight tacks in the vicinity of the LRT aerial guideway to confine a derailed freight train to a limited lateral movement and prevent the possibility of an impact with the LRT support structure.
OBJECTIVE
            The objective of this research is to develop and provide reliable data regarding effective use of guard rail(s) in freight track structure to confine a derailed freight train and to prevent it from hitting LRT support structure. This research is also intended to assess the safety of operations and the cost effectiveness of using guard rail vs. crash walls.</t>
  </si>
  <si>
    <t>Guidelines for Developing Performance-Based, Transit Track Safety Criteria</t>
  </si>
  <si>
    <t xml:space="preserve">http://rns.trb.org/dproject.asp?n=13723 </t>
  </si>
  <si>
    <t>RESEARCH PROBLEM STATEMENT
The rail transit agencies of North America do not have a unified system of track safety criteria.  The Federal Railroad Administration’s (FRA) Track Safety Standards were developed for the railroad industry. Although not applicable by statute, these standards are commonly used as a template by many transit agencies and for the minimum track safety standards developed in-house. However, because the rail transit industry does not share common equipment or even track gage and wheel profiles as the railroads do, the FRA railroad standards do not address many issues specific to individual rail transit properties.
In order to provide operational assistance to its members in this area, the American Public Transit Association (APTA) Rail Transit Task Force (RT-S-FS-008-01) developed, “Standards for Inspection and Maintenance of Fixed Structure – Transit Track”.  This standard is an excellent template for transit systems and is quite comprehensive in scope, but it is also fairly general in nature as it is intended as a model for all rail transit systems. The APTA document is intended as a safety guideline for each transit system to use in developing the agency's own standards.  Each transit system that adopts standards that differ from the APTA standards, however, must document its changes and provide the engineering basis for those differences. In many cases, the engineering basis for specific standards differences is either lost in antiquity or has been developed empirically over time and lacks adequate theoretical support to comply with the documentation requirements, which causes compliance problems.
Because of its comprehensive nature, the above referenced APTA “Standard” does not differentiate among the various track designs, wheel profiles and wheel/rail interfaces nor the associated vehicle dynamics issues that actually exist. Each transit system is different; not very many systems have the same vehicle, and thus there are many different wheel/rail interfaces throughout North America.  The current TCRP Panel D-7 in concert with TTCI recently published "Flange Climb Derailment Criteria and Wheel/Rail Profile Management and Maintenance Guidelines for Transit Operations." Current research is discovering and documenting how the wheel profile plays a major role in wheel climb accidents.  In fact, the choice of wheel flange can significantly increase or decrease the potential for a particular vehicle to derail under otherwise identical conditions.  These flange profiles vary substantially among the systems and need to be taken into account in the development of agency-specific track safety standards.
From a practical standpoint, the North American railroad and transit industries depend on the AREMA Manual of Recommended Practices and the AREMA Portfolio of Trackwork Plans for controlling the design, manufacture, and installation of materials used in the construction and maintenance of track, especially for special trackwork.  This reliance on the AREMA Manual further complicates the issue, as transit operators have long recognized the potential incompatibility of their transit wheels with the AREMA switch designs, and they have developed designs of their own or imported European designs to obtain improved life and ride comfort. This is especially true of agencies with street-running trackage.  The divergence between railroad and transit equipment, the physical layout and track geometry, as well as operating conditions, negates the possibility that the AREMA Recommended Practices and Plans can be applied uniformly to all rail transit systems.  This lack of applicability of a widely respected manual emphasizes the pressing need for a methodology to develop minimum track safety criteria that addresses the track component and vehicle design combinations unique to each system.
To summarize, all the rail transit agencies have steel wheels, steel rails, and other general similarities, but there are significant differences in the designs of their vehicles and track structure systems.  The minimum safety standards for each property will necessarily have different details to address the design issues of their specific transit vehicles, track structure, unique track geometries, and their interactions.  What is needed is not a “one size fits all” approach to developing standards, but rather a system of performance based criteria, i.e. a “how-to” guide, for developing minimum safety criteria for each rail system that is not regulated by the FRA.  This effort is not intended to compete or conflict with the APTA effort, AREMA or the FRA Track Safety Standards. Rather, this effort is to build on APTA, AREMA and FRA in order to create a uniform, practical, and theoretically sound method that enables each agency to develop or improve its own transit track safety standards. The improved standards would be compliant with all applicable APTA and industry standards, yet fit the conditions unique to that agency’s system.
OBJECTIVE      
The objective of this research is to create a “how-to” guide for developing individualized, system-specific, performance based track safety criteria that are based on passenger vehicle characteristics (such as vehicle size, truck design, wheel profiles, solid axles, and independently rotating wheels), transit track geometries, and transit track components.  The research should redevelop, through engineering analysis, the limits to be applied to track gage, check gage, back-to-back gage, track surface, cross level and alignment, and especially the combinations thereof. Vmax limits for maximum vehicle speeds on curves shall also be examined through this research.  This research may also discover unrecognized adverse interactions between vehicles and track. The compilation of the research shall be the “how-to guidelines” that will incorporate the vehicle characteristics into the development of the guide and to provide the practical and theoretical basis for specific recommendations.  The “how-to guide” should establish the formulae and methodology that can be universally applied to produce track safety standards for a specific vehicle or fleet of vehicles and the track structure systems on which they operate.</t>
  </si>
  <si>
    <t>Geographic Information System Cost/Benefit Analysis Template</t>
  </si>
  <si>
    <t xml:space="preserve">http://rns.trb.org/dproject.asp?n=13581 </t>
  </si>
  <si>
    <t xml:space="preserve">Objective
To develop a cost/benefit template to assess risk and prioritize potential Geographic Information System products for program development. 
Research Need
From a program development standpoint, incorporating Geographic Information System (GIS) capabilities intuitively makes sense with increased access to information and the development of spatial analysis tools and outputs to improve decision making.  However, the individual GIS product development can be complex with the need to access information across, and externally to, the organization. There are often multiple options for GIS project selection with limited organizational resources including budgetary, time and personnel.
Challenges to state DOT managers are determining the feasibility of potential projects, assessing the integration with ongoing Information Technology efforts, and deciding where to deploy resources. Key factors to minimize risk are the identification of high benefit and high interest projects with a high likelihood of implementation.
GIS capabilities may simply make existing tasks more efficient or may result in the complete redesign of some organizational processes. It is often difficult to assess risk in terms of organizational, economic and technological feasibility. Risk assessment entails the identification of costs and the quantification of tangible and typically intangible benefits in some manner. 
Primary costs are for hardware/software, data preparation, staffing, and coding of GIS applications. Depending on the specific product, there may already be elements of the necessary GIS infrastructure in place. It is important to identify and build on the existing GIS infrastructure.
The identification of benefits should be on an individual product basis and encompass both tangible and intangible benefits. Tangible benefits result from improvements to existing tasks such as reducing travel or enabling quicker preparation of cartographic products. The more substantial benefits of better decision-making are usually less obvious and quantifiable, especially since GIS will enable new ways to view and analyze information. An example is better identification of the causes of accidents to develop effective countermeasures in roadway program development. Benefit analysis requires further investigation in the decision-making process of staff, management, and stakeholders. Benefits identification should not only be from a DOT/user perspective but also from a stakeholder perspective (traveling public, public agencies, MPOs and the environment). The focus should be on improving decision making – what are the impacts of better decisions?
State agencies often require a cost/benefit analysis of proposed Information Technology projects. This research would supplement this analysis by investigating specific applications in leading states in spatial analysis techniques and developing a framework focusing on the typical benefits to program development personnel. The research would include an investigation of Information Technology project assessment techniques of other agencies.
The overall objective of this research is to develop a template to perform a cost/benefit analysis of GIS applications. This tool will help DOTs better evaluate proposed GIS projects and understand likely payoffs for technology investment. This template would include the following components:
1. Framework to assess organizational, technological and economic feasibility
2. Identification of typical costs
3. Identification of typical tangible benefits
4. Methodologies to identify and quantify traditionally intangible benefits.
5. Framework to prioritize potential projects
This research and investigation would yield a template for state DOT personnel and the GIS community to perform risk assessment and prioritize potential spatial analysis products. </t>
  </si>
  <si>
    <t>ADC10, Environmental Analysis in Transportation</t>
  </si>
  <si>
    <t>Predicting Soil Loss on Highway Systems Based on a Revised Universal Soil Loss Equation (RUSLE) Specific to Highway Site Conditions</t>
  </si>
  <si>
    <t xml:space="preserve">http://rns.trb.org/dproject.asp?n=13539 </t>
  </si>
  <si>
    <t xml:space="preserve">Description of Need and Research Objectives: Currently there is no basic methodology to predict soil loss or recommend erosion and sediment control measures specifically for highway projects. Lack of a methodology impairs the ability of DOT's to meet the requirements of environmental laws such as the Endangered Species Act and the Clean Water Act.
The RUSLE is an agriculturally based soil loss prediction tool modified for construction sites. The Highway version of the RUSLE (HUSLE) is needed to fill a big void in the way DOT's determine erosion control recommendations for highway construction. It would serve as the basis for deciding erosion control treatments based on site-specific environmental conditions in the highway environment. The Department would benefit from having a tool that can be used by designers to help in developing erosion control recommendations that will stand up to legal scrutiny. Potential savings would be from informed decision-making during development of erosion control recommendations. Designers with little or no background will not specify costly treatments that may not work. Also, savings would be gained from "doing it right the first time" and preventing re-applications and costly change orders. Better decision-making will help prevent water quality violations and potential construction shut downs. Using a tool to speed up erosion control decision-making would help reduce overall project design time particularly for projects that may affect threatened and endangered aquatic species.
The research will consist of the following objectives:
    Develop and validate for current erosion control technologies a highway specific methodology using a variation of the Universal Soil Loss Equation to predict soil loss from highway slopes and aid in designing erosion control.
    Develop a computer-based tool for state DOT personnel to use the HUSLE in highway projects.
</t>
  </si>
  <si>
    <t>Wheelchairs Crossing Flangeway Gaps at Railroad Crossings</t>
  </si>
  <si>
    <t xml:space="preserve">http://rns.trb.org/dproject.asp?n=13462 </t>
  </si>
  <si>
    <t>Problem:
Flangeway gaps at rail crossings are an accessibility concern for wheelchair users, and are an impediment to the Architectural and Transportation Barriers Compliance Board (ATBCB) goal of having a continuous path for wheelchairs with a maximum gap of inch. Ongoing regulatory actions to promulgate federal regulations for accessibility on public rights-of-way require some resolution of this issue. Rail lines that carry fright need a 3 inch minimum flangeway width when the crossing is newly constructed, and realistic allowances for rail wear, especially on curves, would be about one inch. Light rail lines, where freight equipment is not operated, can achieve 2 inches maximum width when a crossing is newly constructed. These dimensions are problematic for many wheelchair users. There have been numerous reports from pedestrians who use wheelchairs describing circumstances in which the small front wheels of a manual chair dropped into the flangeway gap and could not be extricated. Even the larger wheels of a power chair can swivel and drop sideways into a gap of these dimensions, especially if the rail is raised above the surrounding surface. Flangeway fillers that are currently available do not hold up at the weights and speeds of travel common on freight systems.
Objectives:
Develop concepts so that accessibility effects on pedestrians using wheelchairs crossing track flangeways at pedestrian crossings are no more restrictive than the equivalent of those allowed on new sidewalks in general (maximum gap inch, maximum vertical change inch or inch tapered, maximum grade 8.33%). (see Implementation for more details). The goal is to have at least one safe and tested concept by December 31, 2004.</t>
  </si>
  <si>
    <t>Operational and Safety Impacts of Angle versus Parallel versus Back-in Parking</t>
  </si>
  <si>
    <t xml:space="preserve">http://rns.trb.org/dproject.asp?n=13459 </t>
  </si>
  <si>
    <t>Research Problem Statement
There is a sizable body of literature examining the safety effects of angle and parallel parking.  What is not always evident is:
·         the context within which these findings are applicable (surroundings, traffic volumes);
·         the safety effects of back-in angle parking;
·         the safety effects of buffer spaces between through traffic lanes and parking lanes;
·         guidelines for allocating cross-section width between bicycles and parked vehicles;
·         the needed cross-section width for parallel parking; and
·         the economic effects of different parking choices.
Recent experimentation examines back-in angle parking as an alternative to head-in angle parking.  Current research in Rhode Island is examining tradeoffs between bike lane width and parking width.  The pavement marking diagrams in recent versions of the MUTCD have called for a marked parallel parking stall that is 8 feet wide; some recent design publications have specified less width.
With the emphasis in and growth of New Urbanism and Context Sensitive Design, traffic engineers need more definitive studies and explanations of the tradeoffs and affects of prohibiting or allowing various types of on-street parking arrangements.
 Research Objective
The objective of this research is to more fully investigate and document the effects and tradeoffs of allowing or prohibiting on-street parking. 
Task 1.      Issues to examine include:
1.  under what conditions should on-street parking be allowed or prohibited;
2.  if parking is allowed, under what conditions should it parallel, head-in angle, or back in angle;
3.  how much cross-section width should be allocated for a parked vehicle or for bicycles;
4.  what are the economic effects of these choices?
Task 2.      The project should include a literature review of previous related research.
Task 3.      The safety effects of on-street parking could be better examined using data from those locales that have improved their crash reporting processes by means such as using satellite crash location technology.  The context of studies needs to be better defined: factors such as abutting land use type and street traffic volumes should be reported, and both data and findings should be stratified by context, so that findings taken from one environment are not applied without justification to other environments.
Task 4.      A necessary component to this research will be findings from agencies that have experimented with back-in angle parking, a buffer strip between travel lanes and angle parking, and the flat-angle parking advocated by Ziegler.
Task 5.      An examination of the effects of curb parking upon business and the community would be helpful.  A confounding problem is that it is not uncommon for parking enhancements to be accompanied by other area improvements.</t>
  </si>
  <si>
    <t>Operational and Safety Impacts of Four- and Six-Lane Sections with Raised Medians Versus Two-Way Left Turn Lanes</t>
  </si>
  <si>
    <t xml:space="preserve">http://rns.trb.org/dproject.asp?n=13448 </t>
  </si>
  <si>
    <t>Research Problem Statement
Multilane road cross sections are often designed to include some type of median, either depressed, raised, or flush.  When a flush median is selected, it often includes a two-way left turn lane (TWLTL).  In urban areas, the choice is often between a raised median and a TWLTL.  In some instances a designer would prefer a raised median in order to enhance mobility and safety, but abutting property and business owners express a strong preference for TWLTL.
Some have suggested various volume thresholds at what volume to convert from a five-lane design (TWLTL) to a non-traversable (e.g., raised) median.  Two concerns about non-traversable median designs are the additional travel distance and time due to the indirection caused by access restrictions, and the safety effects of the increased U-turn demand.
The analysis should consider and differentiate among the following factors:
·                     Number of through lanes: four or six
·                     Environment: rural, suburban, urban of various densities
·                     Volume and speed
·                     Signal density
·                     Access type and density
 Research Objective
The objective of this research is to better document the trade-offs involved with selecting either a raised or a TWLTL median, and differentiate between these effects in a four-lane versus a six-lane environment.  The research should also incorporate the effects of different environments, volumes, speeds, signal densities, and access densities.</t>
  </si>
  <si>
    <t>Multimodal Design to Create "Complete Streets"</t>
  </si>
  <si>
    <t xml:space="preserve">http://rns.trb.org/dproject.asp?n=13441 </t>
  </si>
  <si>
    <t>Research Problem Statement
There is increasing recognition that successful highway designs, and particularly successful designs for urban streets, must effectively serve all transportation modes and provide an appropriate balance among those modes.  An effective street design must accommodate vehicles and users of all types:  passenger vehicles, trucks, pedestrians, bicycles, and transit.  Facilities for each transportation mode must be provided with the modes safely separated.  Additionally, space must be provided for roadside hardware and underground and above-ground utilities.  Further, the design must fit within the context of adjacent development.  Any street design that successfully meets all of these needs can be referred to as a “complete street.”
The need for “complete streets” has been recognized, and much has been written about the importance of multimodal considerations. However, there is little practical guidance on how to effectively serve all transportation modes along the same facility or corridor.  Most available design guidance deals with design for a particular mode but not with how to serve the competing needs of multiple modes. 
Part of the challenge of creating multimodal design is to recognize that the mix of transportation modes, and the priority that should be given to each, differs by functional class.  Thus, there is a need to determine the primary and secondary users of each highway functional class and assess how best to serve the mix of users found on each class.  Another challenge is how to fit a complete street design into an existing environment with right-of-way and other design challenges.
Research Objective
The objective of the research is to identify the mix of users, including primary and secondary users, that need to be served on various highway functional classes; to identify the types and designs of facilities needed to serve each of those types of users; to develop examples showing how those types of facilities have been or could be designed effectively as part of the same corridor; and to present the results in the form of multimodal design guidelines for specific highway functional classes.  The first objective—identifying mixes of user on specific functional classes—should address the full range of highway functional classes.  The latter objectives could also address a range of functional classes or could focus on selected functional classes of interest.
      For specific functional classes, the research should develop examples of projects that have effectively implemented multimodal designs and should highlight the features of those designs that allow multiple transportation modes to be served both safely and effectively.  The research should also suggest new concepts that could be considered in future projects.
      The design guidance developed should be both integrated and multimodal.  The guidelines should not discuss each transportation mode in separate chapters.  An adequate amount of separate material on each mode is available in other sources.  Instead, the guidelines should focus on fitting the individual modes together into an integrated facility that meets the needs of each in a balance appropriate for the functional class of the facility.  The guidelines should indicate the expected operational and safety performance of alternative approaches to facility design.</t>
  </si>
  <si>
    <t>Saturation Flow Rate Model Verification and Validation</t>
  </si>
  <si>
    <t xml:space="preserve">http://rns.trb.org/dproject.asp?n=13424 </t>
  </si>
  <si>
    <t>RESEARCH PROBLEM STATEMENT
The ability to accurately estimate saturation flow rates is fundamental for determining signalized intersection performance measures such as capacity, delay, and queues. The Highway Capacity Manaual (HCM) method of predicting saturation flow rates has been developed incrementally over time. It consists of a multiplicative model that assumes the saturation flow effect of multiple non-ideal conditions is the product of all individual non-ideal factors. The saturation flow rate adjustment factors have primarily been developed by isolating a single variable. The combined effects of multiple non-ideal factors are largely unknown.
As part of the preparation of the 1985 HCM, field studies were conducted to determine a recommended ideal saturation flow rate for use in the calculation of signalized intersection capacity. Studies conducted subsequent to the publication of the 1985 HCM found higher saturation flow rates occurring at intersections even though there was considerable variation in the flow rates. These variations would even occur at the same intersection on differing times of the day or different days. Based on the reported studies conducted by various jurisdictions, in the 1994 update to the HCM, the recommended ideal saturation flow rate for signalized intersections was increased to 1,900 passenger vehicles per lane per hour of green time.
It is commonly accepted that variations in saturation flow exist; however, the degree of variation and the effect that variation has on performance measures is largely unknown. In addition, questions have been raised regarding the appropriateness of a single, national-wide model. To date, there is no substitute for collecting field data to adjusting for conditions in smaller or more rural communities that are believed to experience lower saturation flow rates.
RESEARCH OBJECTIVES
This proposed research has the following objectives:
1. Review saturation flow models in use around the world and compare their theoretical framework and adjustment factors with those of the HCM. Identify factors that may be appropriate for inclusion in the HCM model and modifications to the HCM framework that should be considered.
2. From literature reviews and field studies, identify key factors that influence saturation flow rates that should be accounted for in saturation flow estimation procedures. These factors may include: intersection geometrics, curb lane impedances, congestion levels, intersection environment, geographic location, and driver type.
3. Conduct field studies to measure saturation flow rates for the factors identified above in Item 2. Measure for variables both in isolation and in combination with one another.
4. Develop a recommended framework for estimating saturation flow based on the results of Items 1, 2, and 3. The framework should include guidance for selecting ideal saturation flow rates and applying adjustment factors. Summaries from the field data collection effort should be provided to give the user an understanding of the degree of variability that can be expected for estimating saturation flow.
5. Review the existing HCM procedures for measuring saturation flow, identify deficiencies, and suggest improvements to enhance the procedures in order to provide cost-effective methods for obtaining accurate estimates.</t>
  </si>
  <si>
    <t>Uncertainty Assessment of the FAA Environmental Assessment Tools (AEDT and APMT)</t>
  </si>
  <si>
    <t xml:space="preserve">http://rns.trb.org/dproject.asp?n=13336 </t>
  </si>
  <si>
    <t xml:space="preserve">For both the Aviation Environmental Design Tool (AEDT) and the Aviation Environmental Portfolio Management Tool (APMT), conduct a quantitative assessment of uncertainty.This assessment will provide guidance to airports and aviation consultants performing airport air quality analyses on the level of confidence that can be placed on tool outputs and encourage international acceptance.The assessment should also provide a research road map for improving the tools with specific, quantitative metrics for measuring this improvement. </t>
  </si>
  <si>
    <t>Identification of Improvements in Environmental Review and Compliance Processes</t>
  </si>
  <si>
    <t xml:space="preserve">http://rns.trb.org/dproject.asp?n=13335 </t>
  </si>
  <si>
    <t>Research is needed to support improvements in environmental review and compliance processes to better achieve timely development of aviation services and the protection of the environment. Environmental review and compliance processes should inform decision makers and the public of the environmental impacts of projects, support selection and implementation of projects that promote transportation and environmental goals, ensure compliance with environmental requirements, work within reasonable and predictable time frames, and minimize cost. Objective and empirical research regarding the effectiveness, efficiency, accuracy, and shortcomings of environmental processes applicable to aviation, as well as potential means to improve these processes would be useful to policy makers in evaluating whether existing processes should be changed and in what manner.   Several specific examples of research needs involving aviation environmental processes include:
    Determine the amounts of time that environmental review and compliance processes currently require for various airport projects, and determine how such timelines vary by project type, regional location, and impacts;
    Identify the probable causes of any added approval time, including multi-agency coordination issues, genuine environmental problems, inability to mitigate, disputes over purpose and need, community opposition, project revision, and lack of resources;
    Locate critical bottlenecks in the environmental process and develop possible solutions that would still meet process goals;
    Study the effects and adequacy of legal processes affecting aviation environmental planning, such as land use and metropolitan transportation planning processes, occupational safety litigation, and takings and nuisance litigation; and  
    Evaluate the effectiveness of components of the environmental review process and develop measures to benchmark best practices.</t>
  </si>
  <si>
    <t>Development of Aircraft and Airport Hazardous Air Pollutant Assessment Guidelines</t>
  </si>
  <si>
    <t xml:space="preserve">http://rns.trb.org/dproject.asp?n=13333 </t>
  </si>
  <si>
    <t>Collaborate with the Federal Aviation Administration (FAA), the Environmental Protection Agency (EPA), and other stakeholders to create and implement a standardized guideline for assessing Hazardous Air Pollutants (HAPs) from aircraft engines and other airport emission sources. Move from strictly looking at what is currently known about aviation-related HAPs to developing a standardized guideline that takes into account: (1) various HAPs assessment methodologies used by airports to assess environmental impacts of planned construction; (2) new data collected from aircraft parked off-runway with engines running at pre-determined thrust settings; (3) data collected at locations where aircraft begin take-off operations on the runway; (4) ambient airport monitoring data; (5) research work produced by the FAA/NASA/Transport Canada Center of Excellence; and (6) a review of the latest published information on aircraft HAPs to produce a comprehensive, fleet-representative dataset.</t>
  </si>
  <si>
    <t>Development of Airspace Analysis Tool for Airport Planning</t>
  </si>
  <si>
    <t xml:space="preserve">http://rns.trb.org/dproject.asp?n=13143 </t>
  </si>
  <si>
    <t xml:space="preserve">II. RESEARCH PROBLEM STATEMENT
The development of advanced navigation systems and the myriad of new procedures are a great boon to aviation, but they result in more complex airspace issues for airport planners and sponsors.  Part 77 is no longer an adequate representation of an airport’s airspace concerns.  Although Part 77 still provides a good threshold for general analysis of obstructions, it leaves too many unanswered questions concerning flight procedures.  The difference between a conventional obstruction analysis and the identification of constraints and possibilities with new technologies seems to be growing.  Planners and airport sponsors do not have adequate tools to help them identify and minimize the airspace impact of their development decisions. 
The traditional process for constructing approach procedures, in many cases, seems to be to “shoe-horn” them into the terminal airspace.  When runways and other facilities are already in place, there really is not any other solution.  However, in the case of new facilities and development on and around airports, early identification of airspace impacts is essential to protecting the aviation environment.  This is conventionally accomplished through Part 77 procedures – the filing of a 7460 notice, et al., but it often happens rather late in the game.  And, while Part 77 surfaces do provide a straightforward means of identifying obstructions, they do so only for conventional procedures.  The new procedures made possible with advanced navigation systems are less constrained and more flexible, but there is no Part 77-like tool to help the airport sponsor take full advantage of their flexibility by early identification of obstructions that do affect them. 
Given the development of improved tools for early analysis of airspace impacts, planners could develop alternatives with an eye toward minimizing impacts and maximizing potential use of the airspace for advanced navigation systems.  This would be beneficial for many airport planning tasks.  Beyond the obvious implications for new runways, more comprehensive early analysis of airspace issues would help with decisions about runway changes, obstruction removal prioritization, and response to off airport development plans.  It would also be very beneficial in supporting sound planning decisions during the preparation of environmental documents for airport projects. 
III. OBJECTIVE
The objective of the proposed research would be to produce a new airspace analysis tool for airport planners, most likely in the form of a guidebook or handbook, based on the parameters of both conventional and new approach procedures (RNAV, RNP, and GPS), and the FAA’s most recent guidance regarding Part 77 and TERPS.  The guidebook could provide an overview of current and emerging navigation and ATC technologies and considerations in establishing terminal approach and departure procedures.  It could also discuss the interaction between airspace procedures and airport land use planning considerations for both safety and aircraft noise.  </t>
  </si>
  <si>
    <t>AFK40, Characteristics of Bituminous-Aggregate Combinations To Meet Surface Requirements</t>
  </si>
  <si>
    <t xml:space="preserve">I. Research Problem Statement
Fatigue cracking is an important deterioration mechanism of asphalt concrete-surfaced pavements, because of the detrimental effect these cracks have on the overall pavement strength and stiffness. They also provide a path for moisture to readily infiltrate the underlying layers and subgrade soils of flexible pavements. Fatigue cracks are caused by the application of wheel loads over time. The pavement structure, mixture composition and construction are major factors that have an effect both on the initiation and propagation of fatigue cracks with load repetitions. The environment and climatic factors also play an influential role on the development of fatigue cracks with time.
Historically, the fatigue or load-associated wheel path cracks have been evaluated in most design and/or evaluation procedures assuming that the fatigue cracks initiate at the bottom of the asphalt concrete layers and propagate to the surface. The time or number of wheel loads to crack initiation and the rate of propagation through the thickness of the asphalt concrete layers has previously been related to the tensile creep characteristics, tensile strength and/or elastic or dynamic modulus of the asphalt concrete mixtures. Various fatigue relationships have also been developed for predicting the number of wheel load applications to a predefined level and severity of wheel path fatigue cracks.
More recently, however, there has been an increasing number of studies both in the U.S., Japan and Europe, which have confirmed that many of the load-related fatigue cracks initiate at the surface of the pavement and propagate downward through the thickness of the asphalt concrete mixture. This is a more severe case than the traditional evaluation of fatigue cracks, because it allows water and other foreign debris to penetrate the pavement structure, increasing the stress concentration at the crack tips and propagating the crack at an accelerated rate. As a result, there is a desperate and critical need to address the following gaps in technology.
Identify and confirm the accurate crack initiation-propagation mechanisms.
Identify the structural-mixture property combinations and wheel load characteristics (type of tire, tire pressure and load) for which the fatigue cracks initiate at the surface, rather than at the bottom of the asphalt concrete layers.
The understanding and confirmation of this cracking mechanism is especially important for the design and construction of long-life HMA pavements – being referred to by industry as the Perpetual Pavement Concept.
There have been extensive studies regarding the fatigue characterization of asphalt concrete mixtures through the Strategic Highway Research Program (SHRP) and through the FHWA for evaluating the fatigue properties of asphalt concrete mixtures. More importantly, there has been an accelerated use and efficiency in using finite element analysis programs to evaluate and predict the location of where fatigue cracking initiates throughout the pavement structure.
The 2002 Design Guide will have the capability to predict the occurrence of fatigue cracks that initiate at the surface, but confirmation of this distress mechanism through the use of coring and trenching activities was beyond the scope of work for NCHRP 1-37A. Thus, analytical tools and laboratory characterization procedures for HMA mixtures are now available to identify the conditions and/or combinations of material/structural properties that are conducive for fatigue cracks initiating at the surface, as compared to the underlying layers. The gap in the technology is a sufficient number of field coring or trenching investigations and studies to confirm or validate the proposed mechanism and methodology for surface cracking.
Results of this research work will have direct application to confirm and support the mechanistic-empirical design procedure now under development for the 2002 Design Guide through NCHRP 1-37A and to support the future and ongoing work for long life HMA pavements. The project will provide the data needed to revise and amend the distress mechanism and prediction model being used in the 2002 Design Guide software, if found to be inaccurate or inappropriate.
Current Activities
On-going work for selected agencies in the U.S. (Florida, Washington, Illinois, and Texas to name a few), as well as in Japan and Europe, have begun to investigate and define the mechanisms for surface initiated fatigue cracks. The following lists some of the opinions on the mechanisms of surface-initiated fatigue cracks.
One school-of-thought is that the cracks initiate at the surface because of accelerated aging of the surface. This aging results in a brittle thin surface layer that is supported by softer, un-aged HMA layers. This significant stiffness gradient causes longitudinal cracks to initiate in the wheel paths when heavy loads and higher tire pressures are applied to the pavement.
Another school-of-thought is that longitudinal cracks initiate at the surface as a result of higher tensile strains that occur along the edge of the tires. These cracks propagate downward in tension to a depth of only about 3 inches below the surface. Propagation through shear does not occur.
Others have hypothesized that these cracks are directly related to defects in the HMA surface layers that are a result of the paving operations. The cause, or causes, and mechanisms of this type of fatigue cracking have yet to be quantified.
The mechanism included in the 2002 Design Guide software combines the first two schools-of-thought and uses elastic layer theory to compute the tensile strains near the surface. These tensile strains from wheel loads are then added to the tensile strains that occur from a drop in temperature for predicting the surface-initiated fatigue cracks.
Recently, many agencies have begun to report the occurrence of longitudinal cracks in and adjacent to the wheel paths of thick (more than 6 inches) HMA layers or in HMA overlays placed over thick HMA pavements. Many of these cracks have been observed in less than 5 years of service. This reduced service life of these thicker HMA layers or overlays has generated concern as the HMA layers and overlays become thicker and thicker for the heavier truck traffic that are being used in design.
The SHRP Program and the Federal Aviation Administration (through research being conducted at the University of Illinois) have developed fatigue cracking test procedures for measuring the fatigue properties of different asphalt concrete mixtures. These tests and mixture property characterization procedures and the use of finite element analysis techniques customized to pavements, have made it possible to investigate the mechanisms associated with surface initiated fatigue cracks, and to effectively and efficiently determine the structural conditions, climatic conditions and mixture property interactions to determine those conditions at which fatigue cracks would occur or develop at the top of an asphalt concrete layer.
II. Research Objectives
The major objective of this research study is to confirm and validate through detailed field studies the mechanism incorporated into the 2002 Design Guide software, as well as in other mechanistic-empirical design procedures, for the prediction of surface-initiated fatigue cracks. To accomplish this major objective, it is expected that the project will encompass the following major tasks or secondary objectives.
Identify, review and compare the different crack initiation-propagation mechanisms for which load-related cracks initiate at the surface of the HMA pavement.
Confirm and validate an appropriate prediction model through the use of field projects that have exhibited this type of load-related cracking. Some of the LTPP test sections and data can be used for this validation process. Test sections in the SPS-1, SPS-5, SPS-9, GPS-1, and GPS-2 experiments should be applicable to this study. Coring and/or trenching field studies will be mandatory to confirm that the fatigue cracks did initiate at the surface.
Compare the most accurate and appropriate transfer function and prediction model identified above to the design procedures developed or enhanced through NCHRP Projects 1-37A and 9-19, as a minimum. If required, revisions or changes to the mechanism and prediction methodology built in the 2002 Design Guide software should be recommended. If minor revisions are needed, those revisions should be implemented and the fatigue cracking models recalibrated.
Determine and quantify the structural conditions and mixture property interactions most conducive for fatigue cracks to initiate at the surface and propagate downward through the pavement structure. Results from this task/activity will be directly applicable to complete the planned 2005 Mixture Design Guide. </t>
  </si>
  <si>
    <t>Validation and Implementation of Surface Fatigue Cracking Mechanism for Both Mixture and Structural Design</t>
  </si>
  <si>
    <t xml:space="preserve">http://rns.trb.org/dproject.asp?n=13089 </t>
  </si>
  <si>
    <t>AFH20, Management of Quality Assurance</t>
  </si>
  <si>
    <t>Update OC Curve Analysis Program</t>
  </si>
  <si>
    <t xml:space="preserve">http://rns.trb.org/dproject.asp?n=13041 </t>
  </si>
  <si>
    <t>I. Research Problem Statement
It is well recognized that an analysis of risks is an indispensable step in the development of any statistical acceptance procedure. The construction of operating characteristic (OC) curves and expected payment (EP) curves is the only way to know in advance whether the acceptance procedure will perform as intended.  It is through the study of such curves that the risk to the state agency of accepting defective work, and the risk to the contractor of having good work penalized or rejected, can be known and controlled at suitably low levels.  This provides not only a great technical advantage, but a huge diplomatic advantage, as well, since it enables mistakes to be caught in the office before ever reaching the field.
The only way to analyze the more complex highway acceptance procedures is through computer simulation, and the only user friendly program currently available is OCPLOT which was made available as part of Demonstration Project 89 on Quality Management. This program enables users with no statistical or computer programming experience to analyze a wide variety of either pass/fail or pay-adjustment acceptance plans based on percent defective (PD) or percent within limits (PWL). However, OCPLOT is limited to linear and quadratic pay schedules and is not equipped to handle compound linear pay schedules that have recently been found to be very useful for many highway applications. This type also tends to be better received by the construction industry because they can be made to be lenient for work that is very nearly acceptable, but can still withhold substantial payment for work that is seriously deficient. It is proposed to modify OCPLOT to be capable of handling up to three connected linear pay equations, suitable for matching the “S” curve relationships that are often associated with performance-related specifications (PRS). There are three ways this could be done:
II. Research Objective
The objectives are to: (1) update the current version of OCPLOT in DOS format. This form will continue to run as the present program does in a Windows environment; (2) update and put the input and output stages in Windows format. Internal operations would still be performed in DOS programming; and (3) update and rewrite the entire program in Windows format using a different computer language.</t>
  </si>
  <si>
    <t>AFS40, Subsurface Soil-Structure Interaction</t>
  </si>
  <si>
    <t>Use of Field-Measured Soil Stiffness in Culvert Backfill Installation Quality Control</t>
  </si>
  <si>
    <t xml:space="preserve">http://rns.trb.org/dproject.asp?n=13011 </t>
  </si>
  <si>
    <t>I. Research Problem Statement:
Significant research concerning the soil-structure interaction phenomenon has been performed in recent years.Because of this, the user community has a better understanding of the performance of the complex buried soil-pipe system.A large portion of the analytical work completed to date considers the soil stiffness of the embedment and backfill material as a primary design and analysis parameter. However, construction installation specifications still verify the structural suitability of embedment and backfill material using the tandem criteria of soil type coupled with Proctor Density.
There are several short comings to this approach.
Proctor Density is in its design a test for cohesive soils.Suitability of the test for noncohesive soils, such as the well graded granular materials used for pipe backfill, is questionable.
Field measurements of soil density are time consuming and cumbersome.The standard use of nuclear density equipment is becoming increasingly problematic.The equipment requires specialized training, is subject to strict environment regulations, and is considered a safety issue.
Current analytic models for prediction of the performance of the soil-pipe system consider laboratory determined soil stiffness as a principal design criteria.Finite Element Analysis using FHWA CANDE use soil stiffness in the representative soil models, the Burns &amp; Richard Elastic Solution uses soil-stiffness as a direct input parameter, the Modified Iowa Formula uses E which is a measurement of soil stiffness, and SIDD design method for reinforced concrete pipe used soil stiffness in determining the Heger Soil Pressure Distribution.
Several light weight, portable gages have been introduced to the market which have the ability to rapidly measure soil stiffness.However, correlation with laboratory stiffness data is needed to assess the suitability of these gages.
III. Research Objective:
The proposed project has three significant objectives:
Correlate field gage soil-stiffness measurements to laboratory stiffness results
Correlate field gage soil-stiffness measurements to tabulated stiffness values based on soil type coupled with Proctor Density.
Develop a standard test method for incorporation in AASHTO specifications</t>
  </si>
  <si>
    <t>Remediation of Highway Rights-of-Way</t>
  </si>
  <si>
    <t xml:space="preserve">http://rns.trb.org/dproject.asp?n=13004 </t>
  </si>
  <si>
    <t>Research Problem Statement
Highway traffic, maintenance, and deicing operations generate continuous surface and groundwater contaminant sources. Treadware, brake abrasion, and corrosion are well-documented heavy metal sources associated with normal highway traffic. Leaking fuels and lubricants are continuous, traffic based sources of light petroleum hydrocarbons, while repaving, bridge repair, and other maintenance activities generate heavy hydrocarbons, paint chips, and other residual contaminant loads. Salt and premix applications spread concentrated deposits of sodium, calcium, and chloride onto pavement in northern latitudes. Alternative deicing agents feature acetate or distillation byproduct substrates that can exert an oxygen demand on receiving water and or groundwater. Deicing agent additives pose additional heavy metal sources as well. Precipitation runoff, airborne particulate deposition, and plowed drift deliver these contaminants from the paved surface to the drainage system, median, and shoulders of the highway right of way. These latter right of way elements have an intrinsic capacity to change the flux of heavy metals, major ions, hydrocarbons, and organic substrates to adjacent surface and groundwater.
II. Research Objective
The proposed research will inform the transportation industry of the capacity of right of way elements to affect continuous highway contaminant fluxes prior to discharge into receiving surface and groundwater. The fluxes and capacities will be cast into a remediation capacity design algorithm to facilitate the design of new drainage systems, medians, and shoulders, and the environmental assessment of existing highway rights of way. The following tasks support this objective:
1. Assessment of contamination sources and their impacts on transportation facilities and the subsurface environment.
2. Evaluate the ability of the highway right of way elements to adsorb, deposit, release, dilute, concentrate, or consume heavy metals, major ions and hydrocarbons. These elements include:
·        drainage systems, featuring drop structures, culverts, pipes, and stilling basins
·        sedimentation basins and replacement wetlands
·        medians
·        highway shoulders, including loamy sand cover layers, engineered subgrades, and compacted fill
3. Conduct field demonstration projects at sites featuring:
    adjacent country and closed drainage sections of a state or Interstate highway maintained by a state agency 
·        adjacent grass and paved medians
·        repaving and bridge repair sites
4. Conduct a sampling program at the field sites featuring:
·        logistical support of state highway department and state and federal environmental regulatory agencies
·        physical, chemical, and biological characterization of the soil at the field research sites
·        observed heavy metal, major ions, total hydrocarbons, organic substrates, and dissolved oxygen (potentiometric) concentrations
·        storm runoff samples over a two year period
·        soil moisture extracts from borehole samples
·        surface water and groundwater monitoring well samples over a two year period
·        relevant meteorological data, deicing agent spread rates, repaving specifications, and bridge repair specifications
5. Analyze the field data with a remediation capacity design algorithm demonstrating the remediation capacity of the highway right of way elements. The analysis will include:
·        comparison of paved and grass median sites, used to elucidate the remediation capacity of soil in the median
·        comparison of country drainage with closed drainage system, used to assess the water quality impact of distributed runoff with a loamy sand cover layer (country drainage) vs concentrated runoff with a sedimentation basin (closed drainage)
·        comparison of surface runoff from paved and bridge repair sites
·        comparison of various deicing agent alternatives
·        a technology transfer element to disseminate the remediation capacity design algorithm to federal, state and local transportation authorities, their consultants and contractors.
There is a substantial and continuing literature describing highway contamination, based on completed and ongoing research in academic, public, and private sectors. Likewise, the capacity of soils to remediate contamination has been identified and pursued by diverse agencies as the National Science Foundation, US environmental Protection Agency, and US Department of Defense, along with state regulatory agencies. Indeed, the Transportation Research Board itself has approved the A21,03 Research Needs Statement "Bioremediation for Transportation Industry Cleanups". This latter RNS describes bioremediation of accidental releases of contamination, and as such compliments the present RNS, which deals with continuous contamination releases associated with normal traffic and operations. The present RNS also includes a field demonstration study.</t>
  </si>
  <si>
    <t>Reliability of Metal Loss &amp; Service-Life Estimates for Metal-Tensioned Systems in Geotechnical Applications</t>
  </si>
  <si>
    <t xml:space="preserve">http://rns.trb.org/dproject.asp?n=13003 </t>
  </si>
  <si>
    <t>I. Research Problem Statement
Transportation agencies incorporate a variety of metal-tensioned systems in geotechnical applications including soil and rock reinforcements, ground anchors and tiebacks. These elements are used to support retaining walls and bridge substructures, and stabilize roadway cuts or fills. Conditions of aging systems are uncertain, but corrosion is known to have an impact on service-life. Asset managers, faced with the task of allocating budgets to rehabilitate aging facilities, need reliable techniques for corrosion assessment and estimating metal loss. Service-life estimates for new systems need to be improved, and consideration of metal loss in design needs to be consistent with the reliability-based approach adopted by the AASHTO LRFD Bridge Design Specifications (LRFD Specifications).
The current LRFD Specifications do not adequately address factors affecting the service-life of buried metal-tensioned elements, particularly with respect to effects from climate, soil environment, metallurgy, and installation details. Research is needed to quantify the uncertainty associated with service-life estimates considering the potential loss of section from corrosion. Uncertainties with respect to modeling errors and soil/rock input parameters need to be quantified so that appropriate resistance factors may be calibrated for LRFD. Relationships between the intended service-life, soil environment, climate, installation details (including corrosion protection afforded to the system), methods of sampling and testing backfills or native soils, and modeling errors, must all be considered and incorporated in the design process. The likelihood of a successful design should be quantified, and adjusted on the basis of a cost/benefit analysis. Research is needed to develop the statistics for such an analysis.
Data describing the subsurface environment, metal type (metallurgy), level of corrosion protection afforded to the system, and the prevailing mechanisms of corrosion (uniform, galvanic action, localized pitting, stress cracking, hydrogen embrittlement, microbial, stray currents) are needed to evaluate existing installations. The National Bureau of Standards corrosion studies, which began in the early 1900’s are well documented. However, data obtained from these long-term monitoring programs, which utilized weight-loss measurements on mild, carbon-based steel coupons embedded within fill-type soils are limited. The proposed research will make use of results from recent studies that incorporate new technologies for corrosion assessment and nondestructive testing of the metal-tensioned systems. These technologies allow the effects of different parameters to be assessed within a relatively short timeframe. Case studies will include performance data from elements installed within fills, in-situ soils, and rock.
The key elements of this research involves collecting and evaluating existing data on metal loss for buried metal-tensioned systems, evaluating existing corrosion rate loss models, recommending changes or enhancements to existing corrosion rate loss models, and recommending their implementation into the AASHTO LRFD Specifications. Activities to be undertaken include (1) establishing an inventory of buried metal tensioned systems including date of construction, installation details, corrosion protection afforded to the system, climate and subsurface physicochemical conditions (electrochemical properties of the subsurface in particular), (2) compilation of metal loss performance data, (3) evaluation of service-life prediction models, (4) field monitoring, using NDT and visual examination and physical testing when possible, of in-service reinforcements at selected sites representative of the inventory, (4) analysis of the reliability of rate-loss models as a function of climate, subsurface physicochemical conditions and corrosion protection afforded to the system, and (5) development of specifications and resistance factors for incorporation into the AASHTO LRFD Specifications.
II. Research Objective
The objectives of the proposed research would be to:
·        Survey national and international departments of transportation, designers and research agencies regarding corrosion assessment methods and service-life prediction models applied to buried, metal-tensioned systems.
·        Identify models for assessment of corrosion potential and estimation of corrosion rate and service life.
·        Document/quantify performance of buried metal-tensioned systems.
·        Assess available metal loss models using performance data.
·        Quantify the uncertainty associated with the measurement of physicochemical parameters to describe the subsurface environment and mathematical models used for estimation of corrosion rate and service life. 
·        Quantify the uncertainty with respect to correlations between the physicochemical, particularly electrochemical, parameters describing the subsurface environment and metal-loss.
·        Develop tolerable metal loss criteria consistent with the observed remaining strength of aging systems. 
·        Select an appropriate target reliability index, bT, for the strength limit state on the basis of the performance of existing designs relative to metal rate-loss and service-life estimates.
·        Calibrate the LRFD Specifications for the design of buried metal-tensioned systems at the strength limit state considering the estimated metal loss over the intended service-life of the facility,
·        Develop recommended revisions in AASHTO specifications for including rate of metal loss in design of buried metal-tensioned systems.</t>
  </si>
  <si>
    <t>AFP20, Exploration and Classification of Earth Materials</t>
  </si>
  <si>
    <t>Development of Tools for "First Cut" Evaluation of Carbonate Aggregate Durability</t>
  </si>
  <si>
    <t xml:space="preserve">http://rns.trb.org/dproject.asp?n=13000 </t>
  </si>
  <si>
    <t>I. Research Problem Statement
Identifying carbonate rock resources (limestone, dolomite, and marble) that produce high durability aggregate is of utmost importance to both U.S. producers and consumers of aggregate for portland cement concrete pavements. Rapidly applicable tools for evaluation of aggregate quality in quarries are especially necessary for prevention of production of low durability aggregate and its incorporation into highway projects. Although long-duration physical tests have proven useful in evaluating aggregate durability, the timeframe for such tests is too long to prevent substandard aggregate from being used in construction projects. To evaluate carbonate aggregate in a useful timeframe, aggregate durability must be evaluated as the rock is quarried. We propose a continuation of research efforts to further develop an arsenal of first-cut methods for analysis of aggregate quality, to be used in quarries by Departments of Transportation and quarry personnel. Such methods can also be used in an exploration mode, identifying potential sights for opening of new quarries and eliminating unsuitable sights.
Recent studies show that carbonate aggregate durability is controlled by both textural and mineralogical factors, which are controlled by original depositional environment, age of deposition, paleogeography, local environment, composition of original sediments, and their chemical and physical alteration in response to temperature, pressure, and chemically active fluids (diagenesis and metamorphism). Such a degree of complexity leads to a great degree of vertical and lateral variability in the durability of carbonate rock resources. Each ledge may have a different durability and that ledge may have widely different characteristics as it is quarried laterally. Carbonate aggregate sources in different regions and of different ages, likewise, may show similar complexities. 
To prevent use of substandard aggregate, tools for rapid evaluation of aggregate quality must be developed and implemented. Initially, this must be done by studying the rock properties that lead to specific results in long-term physical tests. Rock properties known to affect carbonate aggregate durability are mineralogic composition and texture.
Many of those rock properties, critical for controlling aggregate durability, can be identified rapidly and in the field in order to develop first-cut critical tools for the evaluation of aggregate durability. 
II. Research Objective
The objectives of this research are to conduct quantitative studies of carbonate rock properties from a variety of carbonate aggregate locations in the United States. Examples include a variety of limestones and dolomites: Pennsylvanian in Kansas and Iowa; Mississippian of Missouri; Ordovician and Silurian of the upper Midwest, Devonian of the Appalachians; widespread Cambrian and Ordovician deposits; and marbles of the East and northeast. Objectives are to evaluate rock textures and mineralogy and compare them to physical tests. Specific rock properties of interest are crystal size and carbonate cement classification, clay content and mineralogy, dolomite:calcite ratio, and Fe content of carbonate minerals. Specific tasks and products will include: 1) Site selection and detailed geologic section measuring/mapping of geology at key locations used for aggregate where each of the above described rock properties can be best evaluated; 2) Sampling and detailed lithologic description; 3) Thin section petrography to further describe lithologic types and identify variability in lithology; 4) Determination of wt. % insoluble residue for representative samples of different lithologies; 5) X-ray diffractometry and scanning electron microscope-energy dispersive system analysis for identifying unknown mineral phases and residue mineralogy; 6) ICP-MS and ICP-AES analysis of iron content and other chemical components; 7) Correlation between physical tests and rock-property data to explain variability in aggregate quality. This correlation will form the basis for rapid identification of durable versus non-durable aggregate-producing horizons without physical tests; 8) Testing and development of geologic and geophysical tools for rapid first-cut evaluation of aggregate durability during quarrying operations. This will include further testing of the spectral gamma ray hand-held scintillometer, which is in its initial phase of testing for use as a first-cut tool in quarries to predict durability of muddy carbonate lithologies, which are commonly used for aggregate. It will further develop expert-system training modules for texture and iron content of mineral phases.</t>
  </si>
  <si>
    <t>Use of 4D-CAD for Planning, Designing, and Constructing Transportation Projects</t>
  </si>
  <si>
    <t xml:space="preserve">http://rns.trb.org/dproject.asp?n=12994 </t>
  </si>
  <si>
    <t>I.  Research Problem Statement
As transportation projects become more complex to design and build, it is important to take advantage of appropriate innovative technologies for reducing project cycle time. One technology that has received wider acceptance in the design and construction industry during the past a few years is 4D-CAD. This approach involves the combination of 3D design data with the added dimension of time. Considerable benefits and significant savings have been reported from owners and contractors for applying this technique as a construction planning tool for complex industrial and commercial projects. However, application of the technology on roadway construction projects is still rare. With the lowering cost of computing power and growing popularity of 3D CAD, the benefit-to-cost ratio of using 4D-CAD on transportation construction is becoming more and more attractive. 
4D-CAD systems originated from the construction of processing, power, and offshore plants where 3D modeling has long been used for checking space conflicts of the complex piping systems. According to Sheppard (2004), 4D modeling efforts might have begun as early as 1973. The first commercially available software was Construction Systems Associates’ PM-Vision, which was released in 1984. However, due to the high computing cost at that time, the system was not widely accepted in the architecture/engineering/construction (AEC) industry. Bechtel, the leading contractor of industrial plants of the U.S., also developed a 3D computer aided engineering system called Walkthru. Jacobus Technology, Inc., established in 1991 by two former employees of Bechtel, developed and marketed a 4D simulation system called Construction Simulation Toolkit. CIFE (Center for Integrated Facility Engineering) of Stanford University used this software and its later versions, also with the help of AutoCad (for 3D modeling) and Primavera (for scheduling), to apply 4D-CAD in addressing construction planning issues (Collier et. al. 1996, Fischer, 2000).
Koo and Fischer (2000) classified functions of 4D-CAD systems into three categories: 1) visualization, 2) integration, and 3) analysis. Other researchers (Collier et. al. 1996, Fukai 2000, Riley 2000, Webb et. al. 2004, Williams 1996) also showed that the technology can significantly improve the communication of the construction plan to other project stake holders. Mckinney et al. (1996) classified 4D-CAD technology into two distinctive generations: Visual 4D-CAD and Collaborative 4D-CAD. According to them, Visual 4D-CAD produces a 4D animation for designers to evaluate and review the schedule they propose. While 4D-CAD can effectively communicate completed construction plans, it did not address how the schedule was developed since it merely links the 3D-model with existing schedule. Because of this, the researchers proposed “Collaborative 4D-CAD” as a tool to improve the construction design process. In recent years, virtual reality (VR) –based construction planning is gaining popularity among construction researchers. With the implementation of 3D modeling in prevalent commercial CAD systems, several prototypes of VR based construction planning tools were proposed by researchers (Whyte et. al. 2000, Waly et. al. 2003, Xu et. al. 2003, Clayton et. al. 2002, Li et. al. 2003, Chau et. al. 2004).
A number of specific construction challenges have been addressed by researchers to improve 4D-CAD as a construction planning tool. Akinci et. al. (1997) conducted productivity and cost analysis using 4D modeling. Riley (2000) studied the role of 4D modeling in trade sequencing and production planning. O’Brien (2000) proposed 5D-CAD modeling by expanding 4D-CAD models to include multi-project resource management functions for specialist contractors. Li et al. (2003) studied the application of virtual reality technology to experiment with innovative construction operations. Chau et al. (2004) used 4D-CAD technology to address building construction site utilization issues. Besides construction planning, 4D-CAD and virtual reality also proved to be a very effective tool for education in architectural and construction engineering majors (Jaafari et. al. 2001, Clayton et. al. 2002).
Beside research activities, commercial software for 4D modeling has become very mature after decades of development. Currently active 4D modeling products and vendors include fourDscape™ from Balfour Technologies’, Navigator™ from Bentley Systems, ConstructSim™ from Common Point, PM-Vision™ from Construction System Associates, and SmartPlant™ series of Intergraph. Recognizing the benefits of 4D-CAD, more and more building projects used this technology during the construction process.
Research at Stanford University estimated that 4D-CAD helps avoid up to 45 percent of change costs, leading to a minimum of 4 to 6 percent overall project cost savings (Sheppard 2004). Benefits from applying 4D-CAD systems in other types of commercial constructions include (Fischer 2000):
    Less field interference;
    Less rework;
    Higher productivity;
    Fewer change order;
    Less cost growth;
    Fewer request for information. 
While great achievements have been made in applying 4D-CAD to the construction of industrial facilities and commercial buildings, little has been done in road and bridge construction. This may be due to limited computer support for construction planning of transportation construction projects. Also, many construction planners are familiar with 2D paper drawings, and are not ready to embrace a new tool. As a result, missing items during the bid preparation are common for many contractors, which translates into higher contingency factors in bids. With the proven benefits revealed by the early research into 4D-CAD, the investigation of the application of 4D-CAD in construction planning for transportation projects should provide improvements over current methods.
II.      Research Objectives
The objective of this research is to investigate the applicability of 4D-CAD for constructing transportation projects. 4D-CAD has proved to be useful for other types of construction projects—it may provide significant benefits to the transportation sector for constructing or renewing our nation’s roads and bridges. A comprehensive literature review will be performed to better understand the usefulness of this approach. The 4D-CAD approach will be pilot tested and evaluated on at least one project. Benefits and costs of applying this proposed approach will be tracked and recommendations will be made concerning the applicability of 4D-CAD technology in the transportation sector.</t>
  </si>
  <si>
    <t>Performance Measurement for Evaluating Stakeholder Satisfaction with Context Sensitive Design &amp; Solutions</t>
  </si>
  <si>
    <t xml:space="preserve">http://rns.trb.org/dproject.asp?n=12773 </t>
  </si>
  <si>
    <t>I. Research Problem Statement
Traditional methods of measuring the success of transportation projects have focused on cost, schedule, capacity, mobility and safety. These measures do not provide transportation agencies and transportation project managers with the information they need to assess the success of projects completed within the contemporary context sensitive environment.Consequently, there are no definitive objective measures to support the institutionalization of context identification and definition as part of the transportation project planning, design and implementation process.
The research is important for two reasons:
1. It will provide state transportation agencies with the tools they need in the project development processes to satisfactorily respect and acknowledge community goals and objectives.
2. It will give communities the tools and vocabulary required to articulate elements of project acceptance to other communities, local and state elected representatives, and other decision makers.This improves credibility of the state transportation agency, thus enhancing public involvement and the progress of future projects and supporting funding allocation opportunities.
II. Research Objective
Performance measures and methodologies should be developed to determine how well process and completed projects satisfy purpose and need and objectives as agreed upon by the full range of stakeholders.Examples of performance measures include:
The project is safe for both the user and the community.
The project is in harmony with the community.
The project meets or exceeds the expectations of designers, owners, and stakeholders.
The project achieves a level of excellence.
The project exhibits efficient and effective use of the resources of all the involved parties.
The project was designed and built with minimal disruption to the community.
The project has added value and is an asset to the community.
The research will identify areas to be measured, including those cited above, and create a rational method to conduct the measurements.The performance measurement process should be piloted on a minimum of ten projects in at least six states.The results of the pilot study shall be confirmed by a process to be proposed by the researcher and approved by the project panel.</t>
  </si>
  <si>
    <t>Tools to Identify and Define Project and Regional Context</t>
  </si>
  <si>
    <t xml:space="preserve">http://rns.trb.org/dproject.asp?n=12772 </t>
  </si>
  <si>
    <t>I. Research Problem Statement
States and communities do not always possess the knowledge, organization, and expertise to identify and articulate issues, needs and desires that set the contextual framework in which a project or group of transportation projects will be undertaken.To contribute constructively to the transportation project development process, a community must first have a clear sense of its vision and goals.Furthermore, agency sponsors of transportation projects have a continuing responsibility to assure that the effects of the project on the landscape it traverses are identified, evaluated, and considered.The landscape refers to the built, natural, and social environment of a community.These elements contribute to the communitys contextual identity that also includes the communitys vision and goals.
It is essential the stakeholders understand the particular project, how it will be constructed, and how it will contribute to the realization of the communitys vision and goals.It is equally important for the transportation agency to understand the contextual framework of the community.This proposal seeks to define and develop tools for the identification and articulation of community context.
II. Research Objective
A succinct definition of context needs to be developed within the community in terms of its aesthetic character, visual quality, cultural diversity, and how these elements translate into the existing context.
The research will identify the various techniques currently employed by communities to articulate their goals and visions.The success of the techniques will be evaluated and recommendations developed for the use by communities.It is anticipated that the recommended techniques will include stakeholder identification and conflict resolution components. It should also identify partnerships, and may identify the role of municipal/regional planning organizations when the values of the served communities within the transportation corridor are clearly linked and can be individually stated.</t>
  </si>
  <si>
    <t>Effect of Solar Loading and Radiational Cooling on Pavement Surface Temperature</t>
  </si>
  <si>
    <t xml:space="preserve">http://rns.trb.org/dproject.asp?n=12766 </t>
  </si>
  <si>
    <t>Problem: Direct solar radiation has a dramatic impact on pavement surface temperatures as only a few minutes of direct sunlight will result in a sharp rise in pavement surface temperature. Likewise, strong radiational cooling at night will cause the surface temperatures to drop much faster than subsurface temperatures. Traditional pavement temperature sensors (e.g., pucks) are embedded in the pavement several millimeters to centimeters deep and may not accurately represent pavement surface temperature.
Research conducted as part of the FHWA Maintenance Decision Support System (MDSS) project suggest that the embedded pavement temperature sensors do not respond to solar loading and radiational cooling in the same manner as the pavement surface, resulting in temperature reports that may not be representative of the pavement surface, which is a critical parameter for calculating the winter maintenance treatment plan. The Aurora Program recently studied pavement temperature accuracy using a combination of laboratory and outdoor tests. Although the research focused primarily on indoor laboratory tests, the limited testing that was conducted outdoors indicated that sensor accuracy may decline during strong solar loading and radiational cooling.
Pavement surface temperature information is critical for winter snow and ice control operations. The uncertainty in the actual pavement surface temperature complicates an already difficult decision making process whereby several environmental factors must be considered together with pavement information. A lack of knowledge on the true pavement surface temperature could result in poor winter maintenance strategies, which could lead to excessive use of chemicals, which is costly and bad for the environment. It could also lead to insufficient treatments, which could lead to deteriorating pavement conditions and slippery roads and resulting unsafe driving conditions and increased accident rates.
Research: A pavement temperature sensor test environment will be developed (outdoors) that will be designed specifically to 1) assess the impact of direct solar radiation and radiational cooling on pavement surface temperature, 2) determine the accuracy of traditional embedded pavement temperature sensors (e.g., pucks) during these conditions, and 3) determine the accuracy of thermistors adhered to the pavement surface. Comparisons will be made between sensors placed on the pavement surface, remotely sensed temperature, and embedded sensors during periods of strong solar loading and radiational cooling. Testing will also be conducted for several pavement types (e.g. concrete, asphalt, porous asphalt, etc.) as well as for pavement age (color shift due to oxidation). Atmospheric information will also be collected during the experiments including air temperature, direct and indirect radiation, wind direction and speed, dew point, and precipitation type and amount. The relationship between the atmospheric information and pavement temperature response will be evaluated.</t>
  </si>
  <si>
    <t>Modelling the Evolution of Reinforcing Steel Corrosion and Concrete Structure Deterioration as Affected by Chloride Ingress</t>
  </si>
  <si>
    <t xml:space="preserve">http://rns.trb.org/dproject.asp?n=12760 </t>
  </si>
  <si>
    <t xml:space="preserve">Statement: The life cycle costing of highway structures is increasingly required by state and federal agencies to ensure that limited capital and maintenance funds are allocated and spent effectively. This approach relies on accurate models of the relevant structure deterioration processes. For reinforced concrete the single most significant deterioration mechanism is corrosion of the reinforcement due to the ingress of chlorides from deicing salt or from marine exposure (or both) and resultant metal loss, build-up of corrosion by-product and concrete cracking and spalling. At the same time, interventions required for maintenance of structures are generally expensive, disruptive, and involve health and safety risks for highway agency personnel, contractors, and the traveling public. It is therefore important that state and federal agencies have the best information on the optimum time and type of intervention. Planned maintenance is the safest and most cost effective approach. It is important that personnel from state and federal highway agencies have the most up to date information on when their structures will need maintenance and repair to allow them to optimize maintenance planning and budgeting.
Reinforcement corrosion starts once the concentration of chloride ions at the reinforcing steel surface, termed the critical chloride concentration, exceeds a threshold value. However, research and field experience in North America and elsewhere has shown that this value can vary widely and is a probabilistic function rather than being fixed or constant. From a deterministic perspective, the critical chloride concentration is a largely unknown function of concrete component materials, mix design parameters, and exposure variables. Consequently, corrosion has been observed to initiate at chloride concentrations from 0.1 to over 1 weight percent by mass of cement (about 0.5 to 5 pounds of chloride per cubic yard of concrete). Such a wide variation causes service life estimates to differ by as much as this same amount (an order of magnitude) depending upon model input parameters, meaning that life cycle costing calculations can exhibit such large uncertainties that they are effectively meaningless. This uncertainty also affects the validity of the choice and projected scheduling of maintenance, repair and rehabilitation alternatives. As an example, consider that barriers are applied or repaired to minimize further chloride ingress into the concrete. However, if the chloride concentration at the steel depth already approaches or exceeds the critical value, then such effort is of little or no benefit and the associated resources are, in effect, wasted. Once started, corrosion progresses by, first, progressive spread of attack outward from the initiation site and, second, initiation at other sites followed by spread from these. The proposed research effort will involve the collection and analysis of existing data from reinforced concrete bridges in the U.S. and other countries. 
Objective: The objective of the proposed study is to develop a quantitative understanding as to how reinforcing steel corrosion and resultant concrete damage depends upon progressive chloride intrusion, as affected by 1) concrete material properties, 2) concrete mix design, 3) type of reinforcing steel, 4) component and structure type, 5) exposure conditions (e.g. temperature, oxygen availability/moisture content), and 6) other possible factors. To accomplish this, a critical review of existing critical chloride threshold data, particularly those obtained from actual highway structures but also from other reinforced concrete structures and laboratory tests and existing reviews, will be collected and evaluated. Specific focus would be placed upon the following:
Aggregate properties and cement type and composition (for example, cement equivalent alkalinity and C3A content (although some reports show this to be less important for chloride threshold levels than previously thought).
Concrete mix design variables and in-place properties (water-cement ratio, presence of pozzolans and corrosion inhibiting admixtures, resistivity, permeability, entrapped air voids at the steel surface , self consolidating and high performance versus conventional concrete).
Reinforcement type (black steel, epoxy coated (ECR) and galvanized bar, and corrosion resistant steels (stainless steels).
Definition of the distribution function for the corrosion threshold and for corrosion induced concrete damage progression; that is, determination of the probability of corrosion (steel section loss) and concrete cracking and spalling at different chloride concentrations.
Effect of environment (temperature, relative humidity, time of wetness, deicing salt versus marine substructure exposure).
Macrocell effects.
Departments of Transportation use different criteria and thresholds for deciding on intervention strategies. Particularly important is that the effectiveness of a specific strategy may vary with the progression of chloride uptake. For example, as noted above, coatings and membranes can be effective in prolonging corrosion initiation, provided they are applied before the threshold is exceeded.   Accurate definition as to when such an approach is no longer effective and other alternatives should be considered is both technically and economically critical if resources are to be conserved and disruption minimized. Information relating to this issue is available from highway agencies and researchers in the USA and worldwide; however, there is a need for this information to be integrated, consolidated, and critical decision paths identified. Only in this manner can highway agencies ensure that their specifications correctly assess the consequences of different levels of chloride ingress on effectiveness of repair and maintenance strategy alternatives. Additionally, in the U.S., state DOT’s conduct bridge deck condition surveys as a part of their required bi-annual National Bridge Inspection Survey (NBIS); possible correlation to the NBIS data may provide bridge engineers with a valuable, readily available and recognizable tool for determining cost-effective bridge deck maintenance and repair. A statistically-sufficient number of field investigations will be undertaken in order that predicted corrosion thresholds and levels of concrete distress are correlated to what transpires on actual structures. The final report from the project will provide suggested amendments to Specifications for implementation by AASHTO committees and state DOTs. </t>
  </si>
  <si>
    <t>AHD45, Corrosion</t>
  </si>
  <si>
    <t>Research Program to Establish Environmental Best Management Practices Based on Quantitative Measurement of Highway Construction, Maintenance and Operations Activities</t>
  </si>
  <si>
    <t xml:space="preserve">http://rns.trb.org/dproject.asp?n=12749 </t>
  </si>
  <si>
    <t>Problem: Transportation practitioners and researchers are pursuing a wide variety of approaches, philosophies, and postures to enhance the environment when involved in construction, operations, and maintenance activities. There is an aggressive and growing national movement to pursue environmental stewardship and adopt best management practices (BMPs). Many practices deemed “best,” however, have never been established as “best” through any measurement procedure and thus are more properly referred to as “good” practices or “generally accepted” practices. Environmental stewardship and other good practices have the virtue that they can be implemented quickly and if there is guidance material available, effectively.
However, continued reference to undocumented “best management practices,” is misleading, causes confusion, and undoubtedly results in environmental outcomes that are less beneficial than others that can be shown through measurement and valid statistical analysis to be “best.” For example, an International Database on BMPs for Urban Stormwater Runoff has been established and identifies BMPs suitable for different circumstances based on extensive data collection regarding relevant performance measures (Biological Oxygen Demand, Dissolved Oxygen, Total Suspended Solids, organics, metals, temperature, pH, etc.) and careful statistical analysis (regression, Analysis of Variance, etc.)
Objective: The purpose of this research is to establish a research program that would use measurement and defensible statistical analysis to establish environmental BMPs relevant to highway construction, maintenance and operations activities. Development of the research program would commence with identifying the full range of different construction, maintenance and operations activities, cross cutting environmental issues, and existing and potentially beneficial environmental management practices. Criteria would be established for selecting sets of environmental management practices to investigate using rigorous measurement and statistical procedures in order to identify best practices. Each set of environmental management practice would be identified as a research project to establish BMPs through rigorous measurement. For each set, tentative measures and statistical analysis would be proposed.</t>
  </si>
  <si>
    <t>AHD10, Maintenance and Operations Management</t>
  </si>
  <si>
    <t>Remediation of Areas Treated with Residual Herbicides</t>
  </si>
  <si>
    <t xml:space="preserve">http://rns.trb.org/dproject.asp?n=12727 </t>
  </si>
  <si>
    <t xml:space="preserve">I. Research Problem Statement 
For years non-selective, residual herbicides were used to keep the roadsides at the edge of the pavement free of vegetation. These areas, sometime referred to as Zone 1, ranged in width from 2 to 10 or more. Due to increase concerns about herbicides in the environment and increased costs, these areas are being significantly narrowed or eliminated. Because of the long term use of residual herbicides it has been difficult to establish desirable vegetation in these areas. This problem may be more difficult in areas with drier climates. Designers and maintenance personnel will be able to use the results of this research to restore abandoned Zone 1 areas with desirable plant communities, reduce long-term maintenance costs, and reduce pesticide use. 
II. Research Objective 
Determine what types of remediation are necessary to establish native or desirable plant communities in areas where residual herbicides were used. This would include: 
Determine if the climate makes a difference in residual herbicide breakdown. 
Determining what types of remediation can be used to breakdown or neutralized remaining herbicides in the soil, such as soil amendments, addition of soil microorganisms, cover crops, etc. 
Determine what types of plants are best suited to re-colonize these areas. 
Determine if plant succession methodologies (adaptive management) can, or should be, used to establish desirable plant communities. </t>
  </si>
  <si>
    <t>Early and Continuous Scoping and Stakeholder Involvement</t>
  </si>
  <si>
    <t xml:space="preserve">http://rns.trb.org/dproject.asp?n=12725 </t>
  </si>
  <si>
    <t xml:space="preserve">I. Problem Statement: 
Transportation projects are often planned and developed conceptually before public and stakeholder involvement activities are initiated. Many transportation agencies have not fully implemented and linked stakeholder involvement for context sensitive design/solutions throughout the entire transportation system development process. Therefore, while the need for a project may be clearly articulated, the community values and context of the built and natural environment may not have received sufficient consideration. Consequently, projects must then be rescoped causing schedule delays and budget revisions. Additionally, programmed elements that have been made without full stakeholder input often impose constraints that prevent designers from responding to community goals and values in a context sensitive manner. Under these conditions, projects are either delayed, not completed, or result in stakeholder dissatisfaction. 
II. Research Objective: 
The goal of this research is to identify processes and tools to incorporate early and continuous scoping and stakeholder involvement that optimizes opportunities for context sensitive design/solutions throughout the entire transportation system development process as follows: 
Identify traditional processes and practices common to many transportation agencies such as long-range planning, implementation planning, concept development, environmental analysis, design, construction, and maintenance that could be modified to incorporate early and continuous stakeholder involvement for successful context sensitive design/solutions. Recommend the modifications. 
Identify improved or new processes that prompt and ensure successful communication among stakeholders, facilitate project scoping, and analyze the performance required to implement these practices. 
Identify cost effective tools and methods to prompt and track stakeholder involvement and the context sensitive design/solution commitments at all stages of transportation system development. </t>
  </si>
  <si>
    <t>Guidelines for the Development of Bioretention Stormwater Treatment on the Roadside</t>
  </si>
  <si>
    <t xml:space="preserve">http://rns.trb.org/dproject.asp?n=12720 </t>
  </si>
  <si>
    <t xml:space="preserve">I. Problem Statement: 
There is increasing evidence that nutrients are major constituents in highway runoff. This varies with the area of ROW as well as the vegetation types and adjacent land use. However, many of the states with large agricultural economic bases are finding it increasingly difficult to deal with nutrients in their runoff. Current preference for managing nutrients is the development of wet ponds or artificial wetlands. These are both expensive to construct as well as maintain. This is particularly true in areas where the natural hydrology makes maintaining a permanent water pool difficult with out supplemental water. 
Recent work in the area of bioretention seem to offer great promise for being able to remove nutrients from stormwater without maintaining a permanent water pool. 
Most of the work that has been done however has been for relatively small drainage basins such as parking lots. This work needs to be extended to the larger scale of the highway environment to determine the practical limits of contributing drainage basins, the relative life of the bioretention vegetative system, the cost of construction and maintenance. 
Give the apparent performance and the potential difference in cost of wet ponds in arid or semi-arid areas of the country this work can offer substantial savings in meeting stormwater management mandates. 
II. Research Objective: 
The following tasks need to be performed as part of the research: 
1. A review and summary of literature on bioretention for stormwater treatment 
2. An evaluation of optimum contributing drainage basin size for the use of bioretention structures. 
3. An evaluation of effectiveness in regionally different climates. 
4. A cost analysis for the design, installation, and maintenance of bioretention structures for stormwater treatment. 
5. Guidelines for the design and use of bioretention structures for stormwater treatment. </t>
  </si>
  <si>
    <t>Performance Measurement for Evaluating Stakeholder Satisfaction with Context Sensitive Design/Solutions</t>
  </si>
  <si>
    <t xml:space="preserve">http://rns.trb.org/dproject.asp?n=12719 </t>
  </si>
  <si>
    <t xml:space="preserve">I. Problem Statement: 
Traditional methods of measuring the success of transportation projects have focused on cost, schedule, capacity, mobility and safety. These measures do not provide transportation agencies and transportation project managers with the information they need to assess the success of projects completed within the contemporary context sensitive environment. Consequently, there are no definitive objective measures to support the institutionalization of context identification and definition as part of the transportation project planning, design and implementation process. 
The research is important for two reasons: 
1) It will provide state transportation agencies with the tools they need in the project development processes to satisfactorily respect and acknowledge community goals and objectives. 
2) It will give communities the tools and vocabulary required to articulate elements of project acceptance to other communities, local and state elected representatives, and other decision makers. This improves credibility of the state transportation agency, thus enhancing public involvement and the progress of future projects and supporting funding allocation opportunities. 
II. Research Objective: 
Performance measures will be developed to determine how well the completed project satisfies the purpose and need as agreed to by the full range of stakeholders. Examples of performance measures are: 
• The project is safe for both the user and the community. 
• The project is in harmony with the community. 
• The project meets or exceeds the expectations of both designer and stakeholder. 
• The project achieves a level of excellence in people’s minds. 
• The project exhibits efficient and effective use of the resources of all the involved parties. 
• The project was designed and built with minimal disruption to the community. 
• The project is described as having added value to the community. 
The research will identify areas to be measured, including those cited above, and create a rational method to conduct the measurements. The performance measurement process will be piloted on a minimum of ten projects in at least six states. The results of the pilot study shall be confirmed by a process to be proposed by the researcher and approved by the project panel. </t>
  </si>
  <si>
    <t xml:space="preserve">http://rns.trb.org/dproject.asp?n=12718 </t>
  </si>
  <si>
    <t xml:space="preserve">I. Problem Statement: 
States and communities do not always possess the knowledge, organization, and expertise to identify and articulate issues, needs and desires that set the “contextual framework’ in which a project or group of transportation projects will be undertaken. To contribute constructively to the transportation project development process, a community must first have a clear sense of its vision and goals. Furthermore, agency sponsors of transportation projects have a continuing responsibility to assure that the effects of the project on the landscape it traverses are identified, evaluated, and considered. The landscape refers to the built, natural, and social environment of a community. These elements contribute to the community’s contextual identity that also includes the community’s vision and goals. 
It is essential the stakeholders understand the particular project, how it will be constructed, and how it will contribute to the realization of the community’s vision and goals. It is equally important for the transportation agency to understand the contextual framework of the community. This proposal seeks to define and develop tools for the identification and articulation of community context. 
II. Research Objective: 
A succinct definition of context needs to be developed within the community in terms of its aesthetic character, visual quality, cultural diversity, and how these elements translate into the existing context. 
The research will identify the various techniques currently employed by communities to articulate their goals and visions. The success of the techniques will be evaluated and recommendations developed for the use by communities. It is anticipated that the recommended techniques will include stakeholder identification and conflict resolution components. It should also identify partnerships, and may identify the role of municipal/regional planning organizations when the values of the served communities within the transportation corridor are clearly linked and can be individually stated. </t>
  </si>
  <si>
    <t>See-Ahead Technologies for Directional Drilling</t>
  </si>
  <si>
    <t xml:space="preserve">http://rns.trb.org/dproject.asp?n=12669 </t>
  </si>
  <si>
    <t>I. Research Problem Statement
Utilities and roadways co-exist within the same narrow corridor over the vast majority of the United States. From congested inner city intersections to remote Interstate highways, utilities parallel or cross directly under key transportation arteries. Trenchless technology (directional drilling for underground utility emplacement and some maintenance) has had a significant positive impact on roadway safety through reductions in pavement maintenance, traffic congestion, and safety hazards.
Unfortunately, the utility service industry has encountered a significant technology hurdle which restrains the use of directional drilling in congested urban areas. This problem is the inadvertent penetration of adjacent utilities during directional drilling. Drilling into power or communication lines, water or sewer mains, or disastrously into natural gas pipes creates a myriad of problems to the roadway environment. For this purpose, the National Transportation Safety Board (NTSB) has issued Safety Recommendation P-99-1 which directed the Research &amp; Special Programs Administration (RSPA) to include actions to protect natural gas facilities when directional drilling is conducted in their proximity. RSPA in return issued a Pipeline Safety Advisory Bulletin ADB-99-04 requesting utilities to provide procedures to minimize the risks associated with directional drilling near buried pipes.
Currently, the state-of-the-art in subsurface mapping technology is lacking. The complexity of the sub-grade environment, coupled with the inherent wanderings of the drill path from its planned trajectory, restrain the use of directional drilling for maintenance purposes and new installations in congested areas.
Real time see-ahead technology for drilling would remedy this problem. Utility service could drill from the side of the roadway to the point of service using on-board sensor technologies that would allow detecting utilities and other obstacles in the path of directional drilling operations and access the area to be serviced with pinpoint accuracy. To date, the commercial trenchless technology industry has been unable to develop an economical solution to fill the see-ahead technology gap. Some initial efforts have focused on forward-looking ground penetrating radar with limited success. Other sensor technologies may have applicability, including optical (on-board camera), acoustics, electromagnetic and magnetic sensors. 
II. Research Objective
The objective of this research is to conduct an in-depth scientific study for the development of an economical and reliable see-ahead technology for directional drilling. Research will explore specific approaches, define their present capabilities, and adapt and modify the ones that can be implemented in the directional drilling environment. The study will more specifically explore the following technologies:
Forward-looking ground penetrating radar: A forward-looking radar mounted on the drill string could potentially be used to detect utilities and other obstacles in the drill path. Imaging of radar data has been successful in various surface geophysical exploration applications and is currently being developed for detecting and identifying underground infrastructure in urban environments. In the forward-looking context of a radar mounted on a drill string, GPR presents a number of challenges:
1. Antenna design: Most GPR antennas are designed either to lie flat on the ground surface and propagate energy into the ground, or to propagate energy laterally from within a borehole. The forward-looking problem would require the development of an antenna to look ahead of the drill string. The antenna design should take into account the dynamic interaction of the drill string with the antenna during system operation. In order to be useful, the antenna would need to provide a narrow beam pattern along the drill path or some other means of discriminating off-axis returns. 
a. Antenna coupling: Ground penetrating radars are extremely sensitive to coupling between the antenna and the medium being explored. Some means must be determined to ensure consistent coupling between the radar antenna and the wall of the drill hole. This is particularly important where drilling operations are being carried out in soft environments.
b. Propagation issues: Attenuation is a fundamental physical limitation of GPR. In many soils (wet clays in particular) soil conductivity attenuates electromagnetic energy so quickly that GPR is essentially inefficient. 
c. Imaging and data analysis: Data processing tools will need to be developed to support data handling in forward-looking scenarios.
d. Trade-offs among operating frequency, antenna size, depth of penetration, and resolution. In general, a GPR that operates at a high frequency will provide high resolution and minimize antenna size. However, operating frequency trades off against penetration depth, so the limit on the operating frequency will be determined by how far the radar will need to see ahead. This will affect the ability to resolve certain difficult targets, such as plastic gas lines.
2. Acoustics: Acoustic techniques can be used to provide an in-ground sonar capability, analogous to that provided by forward-looking radar. It does not appear that there has been a serious investigation of acoustic techniques for this application. In prior studies for other applications, it has been found that acoustics may be effective in environments where GPR fails, as the propagation of acoustic energy is governed by the material properties of the medium, rather than the electrical properties. However, acoustic approaches present a similar set of challenges to GPR, including issues associated with transducer design, coupling to the medium, propagation issues, and operating frequency trade-offs. 
3. Electromagnetics and Magnetics: Both of these techniques may be useful for detecting metallic or ferro-magnetic targets. Neither technique can be effective in detecting the most difficult type of target small, non-metallic objects, such as plastic gas lines with no tracer. However, active electromagnetic induction techniques could be used in detecting metallic objects in the drill path. Passive electromagnetic techniques could also be used if signals could be impressed on the metallic utilities in the drilling area. This approach would be technically feasible, cost-effective, and warrants further research.
4. Other Technologies: The research should not be restricted from exploring new opportunities such as forward looking infrared imaging that may help in the identification of obstacles. Measurement-While-Drilling (MWD) systems can also provide a compact sub system that measures formation properties (e.g. resistivity, porosity), wellbore geometry, toolface orientation and mechanical properties of the drilling process. Although MWD has not been utilized for see-ahead data, the technology can be adapted to existing sensors that may be attached to the toolface to detect upcoming utilities</t>
  </si>
  <si>
    <t xml:space="preserve">http://rns.trb.org/dproject.asp?n=12662 </t>
  </si>
  <si>
    <t>I. Research Problem Statement
There is a sizable body of literature examining the safety effects of angle and parallel parking. What is not always evident is:
the context within which these findings are applicable (surroundings, traffic volumes);
the safety effects of back-in angle parking;
the safety effects of buffer spaces between through traffic lanes and parking lanes;
guidelines for allocating cross-section width between bicycles and parked vehicles;
the needed cross-section width for parallel parking; and
the economic effects of different parking choices.
Recent experimentation examines back-in angle parking as an alternative to head-in angle parking. Current research in Rhode Island is examining tradeoffs between bike lane width and parking width. The pavement marking diagrams in recent versions of the MUTCD have called for a marked parallel parking stall that is 8 feet wide; some recent design publications have specified less width.
With the emphasis in and growth of New Urbanism and Context Sensitive Design, traffic engineers need more definitive studies and explanations of the tradeoffs and affects of prohibiting or allowing various types of on-street parking arrangements.
III. Research Objective
The objective of this research is to more fully investigate and document the effects and tradeoffs of allowing or prohibiting on-street parking.
Task 1. Issues to examine include:
1. under what conditions should on-street parking be allowed or prohibited;
2. if parking is allowed, under what conditions should it parallel, head-in angle, or back in angle;
3. how much cross-section width should be allocated for a parked vehicle or for bicycles;
4. what are the economic effects of these choices?
Task 2. The project should include a literature review of previous related research.
Task 3. The safety effects of on-street parking could be better examined using data from those locales that have improved their crash reporting processes by means such as using satellite crash location technology. The context of studies needs to be better defined: factors such as abutting land use type and street traffic volumes should be reported, and both data and findings should be stratified by context, so that findings taken from one environment are not applied without justification to other environments.
Task 4. A necessary component to this research will be findings from agencies that have experimented with back-in angle parking, a buffer strip between travel lanes and angle parking, and the flat-angle parking advocated by Ziegler.
Task 5. An examination of the effects of curb parking upon business and the community would be helpful. A confounding problem is that it is not uncommon for parking enhancements to be accompanied by other area improvements.</t>
  </si>
  <si>
    <t>AFB10, Geometric Design</t>
  </si>
  <si>
    <t>Accommodating Bicycles on Rural Highways</t>
  </si>
  <si>
    <t xml:space="preserve">http://rns.trb.org/dproject.asp?n=12661 </t>
  </si>
  <si>
    <t>I. Research Problem Statement
Much research has been done related to accommodation of bicycles in urban and suburban areas, but much less has been carried out that addresses bicycles on rural roads. As more rural roads are being used in various parts of the country for recreational bicycling purposes, there is some question as to when to provide special attention to bicyclists, particularly when most rural roads do not consider bicyclists in their design. Also, there is a need to better understand and communicate which design features are most appropriate for accommodating bicyclists in the rural environment.
The product of this research will be used to determine when to better accommodate bicyclists on rural roads and what design features are best to accommodate them. It will be used by state and local road officials with jurisdiction over rural roads.
III. Research Objective
The proposed research will result in a guide that provides guidance and/or warrants on when bicycles should be accommodated on rural highways and suggests sensible accommodation options that are appropriate for the rural environment. Some of the steps or tasks would be:
Describe the whole set of possible factors that affect bicycle safety and comfort on rural roadways.
Define scenarios in which bicycles should be prohibited on certain roadways.
Identify criteria that should be used to determine when a road should be reviewed for possible bicycle-related improvements vehicle and bicycle volumes, requests from the public, particular groups or organizations.
Develop a process that can be applied to roads such that a determination can be made as to the objective need for bicycle improvements i.e. warrants. Ideally, such warrants would be based on a substantive safety analysis if possible. Warrants would also be tied to specific countermeasures, particular the provision of shoulders.
Identify in some priority order the set of countermeasures that are available for use in the rural environment. The detailed descriptions of the countermeasures should provide some information on the relative cost of the countermeasures and their ability to address specific types of safety problems or concerns.
Provide a process that assists in the selection of practical and cost effective solutions for a given situation.
Some of the items relatively important for inclusion in the above are:
Specification of when paved shoulders should be provided for bicyclists. When are hard shoulders sufficient?
Consideration of constraints e.g. narrow bridges - on rural roads and their effect on the safety of bicyclists.
Consideration of rumble strips when accommodating bicyclists.</t>
  </si>
  <si>
    <t xml:space="preserve">http://rns.trb.org/dproject.asp?n=12652 </t>
  </si>
  <si>
    <t>I. Research Problem Statement
Multilane road cross sections are often designed to include some type of median, either depressed, raised, or flush. When a flush median is selected, it often includes a two-way left turn lane (TWLTL). In urban areas, the choice is often between a raised median and a TWLTL. In some instances a designer would prefer a raised median in order to enhance mobility and safety, but abutting property and business owners express a strong preference for TWLTL.
Some have suggested various volume thresholds at what volume to convert from a five-lane design (TWLTL) to a non-traversable (e.g., raised) median. Two concerns about non-traversable median designs are the additional travel distance and time due to the indirection caused by access restrictions, and the safety effects of the increased U-turn demand.
The analysis should consider and differentiate among the following factors:
Number of through lanes: four or six
Environment: rural, suburban, urban of various densities
Volume and speed
Signal density
Access type and density
III. Research Objective
The objective of this research is to better document the trade-offs involved with selecting either a raised or a TWLTL median, and differentiate between these effects in a four-lane versus a six-lane environment. The research should also incorporate the effects of different environments, volumes, speeds, signal densities, and access densities.</t>
  </si>
  <si>
    <t>Safety and Operational Tradeoffs of Freeway Lane and Shoulder Widths</t>
  </si>
  <si>
    <t xml:space="preserve">http://rns.trb.org/dproject.asp?n=12650 </t>
  </si>
  <si>
    <t>I. Research Problem Statement
Highway designers are under increasing pressure to maximize the use of available right-of-way in freeway corridors to provide safety, mobility, and capacity for growing traffic demand. With right-of-way limitations, increased use of context sensitive designs, and implementation of managed facilities (i.e., HOV, HOT, or TOTL), designers must maximize the use of freeway cross sections. While freeway cross section design guidance suggests that 12-foot lanes with 8- to 10-foot inside and outside shoulders is ideal, there is limited research findings on how deviations from these ideals individually, or in combination, will effect freeway operations and safety. Highway designers need guidance on the operational and safety impacts for cross section design trade-offs while trying to balance corridor capacity, project costs, public involvement, and environmental impacts. In addition, there is concern over the part-time use of existing shoulders as HOV, HOT or general use facilities during peak hour. The trade-offs between operational benefits and safety need to be quantified. Further, the safety implications of violators using the shoulder during the off-peak period need to be quantified. Does this changed view of the shoulder as part of the drivable alignment also transfer to shoulder violation on adjacent facilities? The signing and striping of these shoulders for clear communication of the changed cross section use must also be quantified. Shoulders are often used as the separation between special use lanes and the general purpose lanes. The impacts of providing or not providing barrier separation need to be determined. Further, when barriers are used, what shoulder widths are necessary adjacent to the barrier and what safety impacts result from these shoulder widths is a concern.
III. Research Objective
The objective of the research is to provide quantitative safety and operational outcomes for use of shoulder widths of zero to 12 feet (possible up to 14 feet for shoulders used as buffer separation for special purpose lanes) and lane widths of 10 to 12 feet (possibly up to 14 feet for special purpose lanes). The research should also quantify the impact of using these shoulder and lane widths in combination. The focus of the research should also be on existing facilities that would be rehabilitated or reconstructed. As part of this retrofit, the impact of choices of lane widths, inside and outside shoulder widths must be quantified to allow for the safest and most efficient reuse of the available cross-section width. The application of current standards to new facilities is less interesting. Another objective of the research is to develop a tool for designers to assess the cross section design trade-offs. Existing simulation models do not properly address the issues that are requested to be investigated. Thus, a simulation model or recalibration of existing models should be accomplished based on field observations as part of this research to create a user tool for cross-section analysis. Task 1. Conduct literature search and state-of-the-art review. Conduct a survey of U.S. and state DOT experience. Identify study/research sites and data collection methodology. Develop experimental design that will address the objectives of the research and not result in past research deficiencies. Prepare an interim report Task 2. Collect data at identified sites. Based on data collected develop new or calibrate existing operational/design models to use in simulating operation on various freeway cross sections. Task 3. Prepare a final report summarizing all aspects of the research. Develop draft material for replacement of relevant sections of AASHTOs, Policy on Geometric Design of Highways and Streets.</t>
  </si>
  <si>
    <t>Ramp Design as a System</t>
  </si>
  <si>
    <t xml:space="preserve">http://rns.trb.org/dproject.asp?n=12649 </t>
  </si>
  <si>
    <t xml:space="preserve">I. Research Problem Statement
The American Association of State Highway and Transportation Officials (AASHTO) Policy on Geometric Design of Highways and Streets contains general guidelines for the relationship of ramp design speed to the mainline highway design speed, as well as general guidelines for the design speed of ramp terminals, which includes freeway entrance and exit terminals and highway intersections. However, the design of ramps has not traditionally been viewed as a composite system consisting of the three integral parts which form the ramp: the ramp proper and the appropriate terminals, whether freeway or highway, on each side of the ramp proper.
A large number of accidents occur on freeway ramps annually. Although ramp design has a major effect on the ability of a freeway and the interchanging roadway to carry traffic safely and efficiently, little research or literature has been published on the composite ramp system. Typically, ramp terminals and the ramp proper are designed independent of each other and simply put together in designing a ramp. Ramp design practices should consider driver expectations and behaviors over a full range of geometric and traffic conditions which would include the interchange form, ramp type, the area environment (rural vs. urban) and the functional classification of the two interchanging roadways. The issue of a ramp design as a composite system is a complex issue in need of basic research.
III. Research Objective
The objective of this research is to develop composite ramp design criteria based on quantitative information from actual field observations, theoretical considerations, simulations, or a combination of the three approaches. Research should highlight the safety and operational aspects of composite ramp design for the full range of interchange forms, ramp types, system vs. service interchange ramps, and area environments (rural vs. urban). The final report should include proposed changes to AASHTO policy, if results support a change.
The proposed research tasks include the following:
Task 1. Conduct literature search and state-of-the-art review. Conduct a survey of U.S. and state DOT experience. Identify study/research sites and data collection methodology. Identify potential operational/design software which can be calibrated. Prepare an interim report
Task 2. Collect data at identified sites. Collected develop new or calibrate existing operational/design software to use in simulating operation on various ramp design combinations.
Task 3. Prepare a final report summarizing all aspects of the research. Develop draft material for replacement of relevant sections of AASHTO's, A Policy on Geometric Design of Highways and Streets. </t>
  </si>
  <si>
    <t>Transition Zones Design from High-Speed to Low-Speed Rural Sections</t>
  </si>
  <si>
    <t xml:space="preserve">http://rns.trb.org/dproject.asp?n=12648 </t>
  </si>
  <si>
    <t xml:space="preserve">I. Research Problem Statement
According to the National Highway Traffic Safety Administration, speeding is one of the most prevalent factors contributing to traffic crashes. In 2002, speeding was a contributing factor in 31 percent of all fatal crashes, and 13,713 lives were lost in speeding-related crashes. Communicating changes in speed environment and drivers need to adjust their speed is difficult.
Transitioning high-speed rural highways through small rural towns and into the suburban/urban environment is a design challenge. Increasing transition safety is an important goal.
AASHTO's Policy on Geometric Design of Highways and Streets (Green Book) contains general guidelines related to taper design when transitioning from two-lane operation to four-lane operation. Transition taper design is a function of speed and the amount of cross-section width being added to or removed from a roadway section. The Manual of Uniform Traffic Control Devices (MUTCD) provides additional information about taper design for passing sections on two-lane highways. We need to figure out better ways of doing it. There is a need to evaluate and to quantify how combinations of horizontal and vertical alignment, together with cross-section elements can be used in conjunction with human factors to influence and successfully manage operating speeds.
III. Research Objective
The objective of this research is to develop improved treatments and procedures for designing transitions from high-speed rural highways to lower-speed rural built-up areas and suburban/urban environments. The research should compile existing treatments and methods in the U.S. and other countries, review previous research on their applicability and effectiveness, develop a work plan for the additional research needed to achieve the research objectives, collect applicable field data and other information, analyze the data, and prepare a final report. Issues to be addressed by the research should include alignment design features, cross-section elements, traffic control devices, roadway delineation, rumble strips, and channelization.
The final report should include proposed changes to AASHTO Policy, if results support a change. </t>
  </si>
  <si>
    <t>Investigation of Alternative Geometric Design Highway Design Processes: Strategic Research Program</t>
  </si>
  <si>
    <t xml:space="preserve">http://rns.trb.org/dproject.asp?n=12643 </t>
  </si>
  <si>
    <t>I. Research Problem Statement
Accomplishing the design of a highway its three-dimensional features (alignment and cross-section) and appurtenances to provide for drainage, traffic control and safety, requires a well-defined process. AASHTO and its predecessor, AASHTO, developed a highway design process that has been essentially unchanged since it was formalized in the 1940s. The current process can be briefly outlined as follows:
Dimensionally based, with design values for physical dimensions directly derived from tables and charts.
Requires establishment of fundamental design controls including location, terrain, and functional classification that represent the context in which the highway exists.
Requires designers to make choices for other design controls from within established ranges. These primarily include design speed and design traffic, which includes not only volume but also type of vehicle.
Based on selection of a design speed, and in some cases design traffic, other physical dimensions are directly derived or obtained for minimum dimensions (e.g., lane width, curve radius) and/or maximum dimensions (e.g., grade) as appropriate for the design controls and assumptions.
Direct performance measures are in terms of mobility such as speed and level of service. In many cases, costs versus benefits are also an integral part of the design process. Safety is presumed through proper application of the process and technical guidance, but is nonetheless an indirect outcome of the process.
Relies on relatively simple mathematical design models as the basis for derivation of dimensional values.
A Critique of the AASHTO Design Process and Models
There is an underlying philosophy and understanding about the design process and AASHTO policies that should be understood. The design process and roles of highway design professionals have long been viewed as being focused on providing the highest levels of mobility possible or feasible. Within this framework, speed is viewed as a surrogate for quality. The implication is that a well-designed highway is one that enables drivers to drive as fast as possible and hence to minimize their travel times. Cost-effectiveness, and in particular, minimizing construction costs is also central to execution of the process. Within this framework designers generally design to the minimum, with the underlying assumption being the minimum is good enough, and anything greater is inherently more expensive and hence not cost effective.
Design Models
During the past 60 years much has changed in the vehicle fleet, knowledge about driver characteristics, and safety and operations. AASHTO has committed to continually update its policies. Yet, for the most part, such updates have not altered the fundamental process or even, in most cases, the basic design models. For example, the definition of design speed has changed, yet its role relative to the fundamental execution of the process remains essentially unchanged from the 1940s. Design models for horizontal and vertical alignment (e.g., the AASHTO horizontal curve and stopping sight distance models) have undergone dimensional revisions over the years, yet the fundamental model forms and assumptions (many of them simplifying) have not changed. Mathematical simplifications driven by lack of information and/or ease of computing may no longer be appropriate, and may result in suboptimal outcomes in the aggregate.
Construction versus Reconstruction
In the 1930s and 1940s, continuing into the 1960s, most of the work performed by highway engineers involved construction of highways on new alignment. While such work continues, for the most part most highway agencies programs are heavily weighted to reconstruction or rehabilitation, and not construction on new alignment.
Current design policy and processes treat new construction the same as complete reconstruction. As is readily apparent, the two are inherently different in terms of the context in which the designer is operating. Reconstruction along an existing alignment by definition means retention of the basic alignment within existing right-of-way, with its possible expansion or minor revision. In the former case, the constraints and controls that influence the design are fixed. Also, there is (or should be) a known traffic operational and substantive safety record that may be considered as part of the design decision-making process. For new alignments, there is no history of operational performance; therefore, assumptions and reference to similar facilities or conditions in the area drive decision-making. However, designers are selecting a right-of-way from a wide range of corridor choices. Under current policy, both new construction and reconstruction are considered equivalent and treated identically according to AASHTO. It might appear that the substantial differences between the two types of problems warrant their separation within the design process.
Interdisciplinary Design Decision-making
The highway design process is now recognized as being intertwined with environmental and public stakeholder input processes. Decisions involve investigation of options or choices, interaction with other technical disciplines, and a collaborative approach to decision-making. Design decisions are increasingly seen as being interdisciplinary in nature, and not restricted to highway engineering or civil engineering discipline.
II. Research Objective
There are many questions about the current design process. Two major questions exist:
Within the current design process, what changes or updates are necessary to incorporate the latest traffic operations and safety knowledge?
Is the current design process moving forward? Or is there evidence that fundamental changes related to public policy or other factors are needed?
The following program outlines research to address the two major questions by focusing on design decision support (decision-making):
Does the structure of the current AASHTO Policy formulation meet the needs of all stakeholders?
What gaps exist in the current Policies and how should those gaps be filled?
Are there other model processes that may be more applicable and appropriate? If so, what are the organizational, institutional, legal, and cultural issues associated with replacing the current AASHTO formulation and how should these issues be addressed?
Project 1: Development of a Research Program to Refine Geometric Design Models and Process
Objective: Perform a critical review of the format, structure and basic assumptions included in the AASHTO Policies governing geometric design of highways and streets.
There is a need to review and critique the structure of current AASHTO Policy formulation to assure it meets the needs of all stakeholders. The project should identify the current applicability of the source data that was used a basis for the past research that formulated the AASHTO Policies. Such policies primarily include A Policy on Geometric Design of Highways and Streets (Green Book) (1) and Roadside Design Guide (2), as well as the Guide for Achieving Flexibility in Highway Design (3). The issues to be addressed through this research include:
Task 1. New Construction versus Reconstruction. As currently written, the AASHTO Green Book (1) considers new construction and reconstruction to be similar in nature, and to be treated as new construction from the perspective of applicable design policy. Reconstruction of existing highways is in many respects fundamentally different from highways on new alignment. There is a need to revisit this policy assumption and make recommendations regarding retention, development of separate policies for reconstruction, or revision to the formulation of design criteria reflecting unique reconstruction issues.
Task 2. AASHTO Design Models. There is both research and anecdotal evidence that many of the AASHTO design models and assumptions within the design models are outdated, overly simplistic or understood not to reflect actual traffic operations. Design models of interest include the horizontal curve model, stopping sight distance model, passing sight distance model, maximum/minimum grade and length of grade models, minimum vertical curve length model, cross sectional guidance, and roadside encroachment models. AASHTO presents basic geometric guidance information inconsistently. In some cases (as with rural highway cross section and roadside design guidance) traffic volume is a direct, core input to design policy. In others (as with stopping sight distance and horizontal curvature) the criteria are volume insensitive. Similarly, functional classification and area type plays a varying role in the formulation of design inputs within certain models. A critique of all models is needed as to their adequacy and applicability across the range of location, traffic conditions and functional classification. This research effort should directly involve the AASHTO Geometric Design Task Force and Subcommittee on Design. Recommendations as to needed refinements in the design models would lead to follow-up research.
Task 3. Related Research. NCHRP Project 15-25, Alternatives to Design Speed for Selection of Roadway Design Criteria (4), should provide background and focus for some of the effort. However, the issue goes beyond design speed alone.
Funding and Period of Performance
Funding -- $250,000
Schedule 18 months</t>
  </si>
  <si>
    <t>Multimodal Design to Create Complete Streets</t>
  </si>
  <si>
    <t xml:space="preserve">http://rns.trb.org/dproject.asp?n=12642 </t>
  </si>
  <si>
    <t>I. Research Problem Statement
There is increasing recognition that successful highway designs, and particularly successful designs for urban streets, must effectively serve all transportation modes and provide an appropriate balance among those modes. An effective street design must accommodate vehicles and users of all types: passenger vehicles, trucks, pedestrians, bicycles, and transit. Facilities for each transportation mode must be provided with the modes safely separated. Additionally, space must be provided for roadside hardware and underground and above-ground utilities. Further, the design must fit within the context of adjacent development. Any street design that successfully meets all of these needs can be referred to as a complete street.
The need for complete streets has been recognized, and much has been written about the importance of multimodal considerations. However, there is little practical guidance on how to effectively serve all transportation modes along the same facility or corridor. Most available design guidance deals with design for a particular mode but not with how to serve the competing needs of multiple modes.
Part of the challenge of creating multimodal design is to recognize that the mix of transportation modes, and the priority that should be given to each, differs by functional class. Thus, there is a need to determine the primary and secondary users of each highway functional class and assess how best to serve the mix of users found on each class. Another challenge is how to fit a complete street design into an existing environment with right-of-way and other design challenges.
III. Research Objective
The objective of the research is to identify the mix of users, including primary and secondary users, that need to be served on various highway functional classes; to identify the types and designs of facilities needed to serve each of those types of users; to develop examples showing how those types of facilities have been or could be designed effectively as part of the same corridor; and to present the results in the form of multimodal design guidelines for specific highway functional classes. The first objective identifying mixes of user on specific functional classes should address the full range of highway functional classes. The latter objectives could also address a range of functional classes or could focus on selected functional classes of interest.
For specific functional classes, the research should develop examples of projects that have effectively implemented multimodal designs and should highlight the features of those designs that allow multiple transportation modes to be served both safely and effectively. The research should also suggest new concepts that could be considered in future projects.
The design guidance developed should be both integrated and multimodal. The guidelines should not discuss each transportation mode in separate chapters. An adequate amount of separate material on each mode is available in other sources. Instead, the guidelines should focus on fitting the individual modes together into an integrated facility that meets the needs of each in a balance appropriate for the functional class of the facility. The guidelines should indicate the expected operational and safety performance of alternative approaches to facility design.</t>
  </si>
  <si>
    <t>Environmental Impact of Coal Fly Ash in Road Constructions</t>
  </si>
  <si>
    <t xml:space="preserve">http://rns.trb.org/dproject.asp?n=12636 </t>
  </si>
  <si>
    <t xml:space="preserve">I. Research Problem Statement
Fly ash and bottom ash are by-products of coal-fired power plants, which represent part of the inorganic materials in coal. It is estimated that more than 150 million tons of fly ash is produced annually worldwide from the combustion of coal in power plants. Fly ash has been recognized as a successful resource material and can be added in construction materials for its pozzolanic nature, which will chemically react with calcium hydroxide in cement or carbonates in soil at ordinary temperatures to form compounds possessing cementitious properties when it is in contact with water. On the other hand, however, fly ash typically contains regulated elements such as arsenic, barium, boron, cadmium, chromium, lead, mercury, selenium, etc. The environmental impact of coal fly ash was primarily studied through leaching tests (References 1 7). The release of these elements to the environment will generate significant impact to the human, wildlife and ecosystem. Coal flyash caused groundwater contamination has been reported worldwide. For example, it was reported in Purulia district of West Bengal, India that a large number of people in the area are victims of lung infections and skin disease, caused by fly ash contamination of air and water. The effect of the ash is found on local animals and vegetation, too. The cattle feeding on contaminated vegetation are victims of skin diseases and dental disorders. The population of birds and water animals is also decreasing. (The Financial Express, 22 August 1999). HEC (2000, http://www.hecweb.org/ccw/CCW-Cases2aug00.htm) documented 63 cases related to coal fly ash caused contamination in the U.S. (References 8 15).
 II. Research Objective
The objectives of the research are
    Collecting information on environmental impact of coal fly ash, which will enhance the state-of-the-art knowledge and facilitate utilization of coal fly ash. The focus of the research will be on collecting case studies related to the environmental impact of fly ash to subsurface, especially to aquifers.
    Conducting short and long term dynamic column tests to study the release of contaminants from coal fly ash and soil with fly ash as an additive under simulated environmental conditions, which include, but are not limited to:
        Identify dominant contaminants from selected coal fly ash samples from six power generating stations
        Time dependent release of the contaminants in
i. coal fly ash and
ii. ash stabilized soil on road works
        pH dependency of the contaminants in
i. coal fly ash and
ii. ash stabilized soil on road works
    Conducting numerical modeling on chemical equilibrium of coal fly ash as it relates to factors such as
        Fly ash composition
        Percentage of flyash in soil
        Chemical speciation of target elements (contaminants), including their solubility, complex formation and corresponding environmental impacts
        Prediction of long term impact of coal fly ash when they are used in road works.
</t>
  </si>
  <si>
    <t>AFP10, Engineering Geology</t>
  </si>
  <si>
    <t>Long-Term Performance of Rockfall Mitigation Systems Considering Effects from Corrosion</t>
  </si>
  <si>
    <t xml:space="preserve">http://rns.trb.org/dproject.asp?n=12590 </t>
  </si>
  <si>
    <t>I.    Research Problem Statement
Rockfall mitigation systems include wire and cable mesh slope protection systems, catchments and barrier protection systems. These systems are intended to control rock falls and minimize the likelihood that debris and large blocks of rock will fall onto the highway and railway rights-of-way. The systems perform by absorbing energy from impact or controlling the momentum of individual pieces of rock that may range from several centimeters to several meters in maximum dimension. The mitigation systems include metallic components such as mesh, cables, posts, dowels, pins, fasteners and damping devices. These components are often subjected to very harsh environments that persist within mountainous terrains including severe winter conditions, high rainfall, high influx of water from runoff and or groundwater seeps, corrosive ground and rain water conditions, and roadway spray contaminated with deicing salts applied to the highway during winter conditions.
Rockfall mitigation systems have been in service along roadways in Europe and the USA for more than 30 years, and their use along railways predates their application by the highway industry. The long-term performance of these systems is a concern including the possibility of corrosion of metallic components. Portions of these systems are exposed to extreme atmospheric conditions and other portions are subject to in-ground environments that may be aggressive relative to corrosion. The interface between the in-ground and above ground components is particularly vulnerable to corrosion due to the potential for macro-cells to develop due to transitions in moisture content and levels of oxygen. The serviceability of damping devices may become compromised due to corrosion that may restrict movements and cause greater loads than anticipated to be transferred to support systems and mesh materials that are needed to absorb the energy from impact. Thus, the long-term performance of these systems may be compromised in a number of ways from corrosion.
There is a need to develop guidelines to assess the vulnerability of these systems to corrosion, define conditions for which the potential for corrosion is highest, estimate remaining service-life, and devise test methods to determine when replacement or retrofit strategies should be implemented. These results will be useful to transportation agencies charged with asset and facilities management including maintenance and safety of the highway system.
II.    Research Objective
The objective of the research is to assess the vulnerability of rock fall mitigation systems to corrosion; develop a protocol for assessment of corrosion potential considering climatic factors, geology, highway deicing and maintenance practices, and installation details; evaluate mathematical models to estimate remaining service life of existing systems; and propose test methods to evaluate the condition of existing systems and assess the integrity of various components comprising the systems.
The following tasks are necessary to achieve these objectives:
1.    A search of the literature to identify types of rock fall hazard mitigation systems, system components, and materials used for their manufacture within their in-service years of application; test methods and, techniques useful for corrosion monitoring and condition assessment; available service life prediction models; and existing data on performance and service life.
2.    Conduct a survey of industry and owners necessary to describe the inventory of existing systems and identify various locations, site conditions, construction details, and age. Include railway owners in the survey that may maintain some the oldest rock fall protection systems within their inventory.
3.    Establish a database to describe the attributes of existing systems and for archiving performance data including maintenance records.
4.    Evaluate available test methods for condition assessment. These methods will include nondestructive test techniques that may be applied in the field, methods of sampling, and appropriate field and laboratory tests. Methods that have been applied to other types of systems including various bridge components, in-ground metallic elements, highway appurtenances, etc. should be evaluated for application to rock fall hazard mitigation system component analysis.
5.    Perform field investigations to evaluate the condition of existing systems. Sample earth materials, ground water and various components of the rockfall hazard mitigation system. Document site conditions in terms of the electrochemical properties of surrounding earth materials, atmospheric conditions, and potential sources of contamination that may contribute to corrosion at a site; installation details, and materials of construction. Perform laboratory and nondestructive tests, identified in Task 4, on system components and make direct physical observations of the system condition. Older sites that may be assessable in Europe and elsewhere, as well as sites representing conditions typical of the United States should be included in the field study. A limited amount of load testing should also be performed in the field to assess how well the systems respond to a known external force and how well the responses correlate to condition.
6.    Test selected samples in the lab and assess metal loss, remaining strength, load deformation response and damping characteristics.
7.    Compare metal loss observed in lab to results from NDT and estimates from metal loss models identified from Task 1.
8.    Based on observations from field and laboratory observations, correlate occurrence and severity of corrosion to age of facility, site parameters, climate, maintenance practices, use of deicing salts, construction details, etc.
9.    Compare observed rates of metal loss to predictions based on service-life and metal loss models identified in Task 1.
10.    Propose a service life model that considers system demands, the effect of metal loss on remaining strength, and the effects of corrosion on the ability of the system to absorb the energy from falling rock/debris.
11.    Prepare a recommended practice for condition assessment, estimation of remaining service-life and retrofitting of existing rock-fall mitigation systems in a format suitable for adoption by AASHTO.</t>
  </si>
  <si>
    <t>Undefined Effects of Rough Airfield Pavements on Aircraft Operations</t>
  </si>
  <si>
    <t xml:space="preserve">http://rns.trb.org/dproject.asp?n=12517 </t>
  </si>
  <si>
    <t xml:space="preserve">I. Research Problem Statement
Airfield pavement roughness is generally associated with pilot and passenger complaints about a particular runway or taxiway. Airfield pavement roughness is much more than a “ride quality” issue. Rough pavements reduce the fatigue life of the aircraft, increase operational and support costs, increase require stopping distance, reduce the life of the pavement, and most important of all, can become a safety issue in the event of an aborted takeoff. While each of these are known by the industry, none of the effects have been quantified. How much is the useful life of the aircraft reduced if it continually operates heavy and on rough pavements? How much additional stopping distance is required when landing on a rough pavement? What are the chances of blowing nose wheel tires or fracturing a drag brace on the nose landing gear strut in a maximum effort aborted takeoff on a rough runway? Multiple case histories of blown tires during aborted takeoffs are on record.
When aircraft manufacturers compute the fatigue life of an aircraft, the effect of dynamic loading cause by pavement roughness is factored into the number of Ground-Air-Ground (GAG) cycles expected to occur in the life of the aircraft. This is referred to as the “loading environment”. No recent profile data exists to define the loading environment for airfield pavement roughness. The last major effort to do this was in the 1950-60’s and was done by NASA Langley. There is a need to define the loading environment that aircraft are experiencing today. This should include pavements in 3rd world nations, remote locations, areas where frost heave is an issue, etc. A statistical database could then be developed for aircraft manufacturer use in future aircraft designs and even more importantly in calculating the remaining life of existing aircraft.
While this research problem statement actually lists multiple and specific problems, they are all related to airfield pavement roughness. An understanding of each could involve aircraft modeling and testing among other things. It makes sense to consider each issue in a combined research effort.
II. Research Objective
This research would be a major effort and would require a federal agency such as the FAA, NASA Langley or the US military to support it and perhaps industry as well. The broad objective of this research is to define, in useful, quantifiable engineering terms, the effect that pavement roughness has on each area of concern. The most effective way to accomplish this objective is with instrumented aircraft testing. Once quantifiable results are available, meaningful criteria for defining unacceptable roughness levels, can be developed. These criteria would eventually become an FAA or ICAO standard. In addition, peers in this technical area would approve ASTM standards for airfield pavement smoothness assessment methods and procedures. </t>
  </si>
  <si>
    <t>Economic Development</t>
  </si>
  <si>
    <t>LRFD Calibration of Differential Support Settlement</t>
  </si>
  <si>
    <t xml:space="preserve">http://rns.trb.org/dproject.asp?n=29359 </t>
  </si>
  <si>
    <t>RESEARCH PROBLEM STATEMENT
Geotechnical designers need absolute support settlement to size spread footings or to tip the piles for Service Limit State loads. However, structural designers are more concerned with differential settlement that can develop forces in the superstructure components. Both absolute and differential settlements can be of interest to maintenance engineers.
When evaluating settlement, both short-term and long-term components must be considered in design. Current AASHTO LRFD specifications do not provide clear and concise explanation of the two components, corresponding load factors, and the limits to be used in design.
Since absolute and differential settlement criteria are based on engineering assumptions and judgment rather than systematic scientific research findings, associated overestimate or underestimate in the allowable limits of settlement may adversely affect safety and functionality of the bridge or increase construction costs. Scientific criteria are needed to provide more efficient foundation design. Bridge foundation construction costs can be reduced significantly by using more realistic settlement criteria that will produce a more cost-efficient design.
This research will support two areas of the SCOBS “Grand Challenges”:
-          optimizing structural systems, and
-          advancing the AASHTO specifications
 V.         RESEARCH OBJECTIVE
The research objective is to develop bridge foundation settlement criteria to improve design accuracy, safety, and economy. Research findings will discover the effects of differential settlement on the long-term performance and serviceability of both substructure and superstructure, including ride quality, joint performance, and other maintenance issues.</t>
  </si>
  <si>
    <t>Transformative Public Transportation Solutions for Reducing Greenhouse Gas Emissions</t>
  </si>
  <si>
    <t xml:space="preserve">http://rns.trb.org/dproject.asp?n=25876 </t>
  </si>
  <si>
    <t>Problem
Most studies to date have relied on annual percent increases from baseline transit ridership in order to project the greenhouse gas emission reduction potential of transit investments. This study would take the opposite approach, looking at transit achieving a significant mode share in particular markets, what that would mean for emissions, and what it would take to get there.  
Objective
The objective of the research is to provide scenario building and analysis of localized, transformative public transportation solutions. Important analysis areas include thresholds at which transit serves a large enough number of destinations and/or offers service at equal to or better travel times than driving to achieve a significant market share. The research would take a market segmentation approach, focusing on specific markets that offer the best opportunities. The research would also examine particular U.S. or international cities that have gone through a transformation from auto dominant to multimodal transportation. The research would seek to determine what factors led to success in these cities, including factors such as political decision-making processes, implementation, public opinion, economy, etc.</t>
  </si>
  <si>
    <t>Assessing Inter-City Passenger and Inter- and Intra-City Freight Transport Energy and GHG Intensities</t>
  </si>
  <si>
    <t xml:space="preserve">http://rns.trb.org/dproject.asp?n=25847 </t>
  </si>
  <si>
    <t>Problem Statement
Energy intensity values (energy use per unit of activity) are basic data for forecasting, policy analysis, planning, and monitoring progress toward energy and environmental goals. They are essential for predicting the impact of changes in the structure of passenger and freight transportation over time and in response to technology advances and policy initiatives. Because greenhouse gas emissions are closely linked to energy consumption, energy intensities are also key variables in modeling climate change impacts of transportation activities. In general, however, only the most aggregate energy intensity values are readily available (e.g., energy use per total revenue passenger-mile for air travel, energy use per vehicle-mile for automobile travel, etc.), and for some modes (e.g., truck freight) even the most basic estimates of energy use per unit of activity are not available. Greenhouse gas (GHG) intensity values are similarly lacking.
The lack of detailed, comprehensive, consistent, and objective measures of modal energy and GHG intensities handicaps a range of analyses. In many cases, analyses must rely on generic estimates based on total activity and fuel use developed by or for agencies like DOT’s Federal Highway Administration (FHWA), EPA’s MOVES model, and DOE’s Energy Information Administration (EIA). The most recent comprehensive study of passenger and freight energy intensities is now more than 30 years old.
Objective
Developing a consistent set of comprehensive and objective energy and GHG intensity estimates will require a substantial research effort. This research should survey all modes, but the primary focus should be on Inter-City Passenger and Inter- and Intra-City Freight Transport Energy and GHG Intensities. The research should make distinctions, where possible of different spatial scales (e.g., national, regional, metropolitan). The level of detail should reflect analytical needs as well as the availability of reliable and accurate data. Detail is important to ensure valid comparisons across modes and functions and to improve the accuracy of derived estimates, such as greenhouse gas emissions. Specific tasks will include:
·      Reviewing United States and international literature, both to obtain modal energy intensity estimates for comparative purposes and to identify data sources and methods.
·      Surveying the literature and relevant agencies to identify and evaluate the most important uses of energy intensity numbers
·      The data are scattered and representative driving cycles do not exist, so the effort should cover these gaps.
·      Determining modal, functional, and spatial structure of intensity estimates to be derived based on the availability of data, the identified needs/uses for energy intensity estimates, and relevant parameters.
·      Selecting methods and data sources for developing the estimates and implementing them in a computer model (e.g., a spreadsheet) so that estimates can be made for both the past and future, according to the availability of data.</t>
  </si>
  <si>
    <t>Cap and Trade and Transportation Sector Specific Policies</t>
  </si>
  <si>
    <t xml:space="preserve">http://rns.trb.org/dproject.asp?n=25793 </t>
  </si>
  <si>
    <t>Problem
How would pursuing transportation sector specific policies in conjunction with a cap and trade system change the price of allowances, alter the share of emissions reductions from transportation, and impact costs and benefits in the transportation sector?
Objective
Draft climate change legislation includes measures specific to the transportation sector as well as establishing an economy-wide cap and trade system.  The rationale is that without complementary measures, most greenhouse gas emission reductions would come from other sectors as a cap and trade system would only increase gasoline costs by about 20 cents per gallon.  This is not a problem inherently, since if there are more cost effective greenhouse gas (GHG) reductions to be made in other sectors, then it is more efficient for the economy as a whole for the reductions to come from those other sectors.  However, if there are market failures that reduce the reaction to higher prices, then pursuing additional measures can lower implementation costs by compensating for market failures. 
There is evidence that some aspects of transportation, as well as other sectors, may exhibit market failures. For instance, consumers tend to undervalue fuel savings in vehicle purchase decisions. That leads to the conclusion that a cap and trade system can serve as the central policy to guide cost-effective GHG reductions, while complementary policies (additional policies that work with the main cap and trade policy) also may be pursued to lower implementation costs by compensating for market failures when they exist. 
Tighter fuel economy standards, GHG standards, biofuel incentives, funding for vehicle research, and transportation planning requirements are all types of policies that are under discussion to be pursued in conjunction with cap and trade.  How would pursuing transportation sector specific policies in conjunction with cap and trade change the price of allowances, alter the share of emissions reductions from transportation, and impact costs in the transportation sector?  Universities, government agencies, and other researchers have used complex economic models to estimate allowance prices and GHG reductions from other sectors.  Examples include EPA’s ADAGE model.  However, researchers have not included complementary transportation measures in these models.</t>
  </si>
  <si>
    <t>Comprehensive Evaluation Framework for Climate Change Analysis in Transportation</t>
  </si>
  <si>
    <t xml:space="preserve">http://rns.trb.org/dproject.asp?n=25790 </t>
  </si>
  <si>
    <t>Problem
The transportation sector is vital to the economy of the United States. It provides the critical links between industries and to their customers and it is the network for individual mobility. It is also a primary contributor to greenhouse gas (GHG) emissions. The transportation sector currently accounts for about 30% of total US GHG emissions, and this is expected to grow in the future as population and economic growth coupled with GHG emissions reductions in other sectors (e.g. electric power, housing, and industrial) will focus concern on all modes of the transportation sector.
All current motorized modes of transportation rely on burning petroleum fuels for propulsion. As populations grow and economies expand, the demand for transportation, and thus petroleum, also grows. This growth in transportation activity will increase GHG emissions without changes in modes, fuels and other decisions. In order to slow or reverse this trend, public policy has been addressing three components of the link between transportation and GHG emissions.   The three components are:
    Efficiency (Vehicles) – this refers to the rate at which energy is consumed by vehicles. This includes, for each transportation mode, both the vehicle or person miles per gallon and the operating characteristics that affect the actual amount of fuel consumed during on and off road use. Therefore, mitigation options include items ranging from new vehicle technology improvement (CAFE) to transportation systems management that improves vehicle efficiency by reducing congestion.
    Carbon Content (Fuels) – this refers to the fuel source for each mode and the amount of carbon released in the combustion process. It includes current conventional fuels, improved conventional fuels and alternative fuels such as alcohol, natural gas, propane, electric power and hydrogen.
    Activity (Travel) – this refers to the use of all vehicles to provide transportation service. It includes programs that discourage the use of vehicles that use high carbon fuels, promotes transportation alternatives and encourages increases in vehicle occupancy rates. This area also includes changes in land use planning that leads to a lower reliance on low energy efficiency vehicles for transportation. 
Options in all three areas may be needed to achieve the stated GHG reduction goals contained in Climate Change Action Plans now adopted by about half the states and numerous regional and local government entities. It is remains unclear which options will be supported by the public and their elected representatives. The CAFÉ standards to improve fuel efficiency seem popular, but continued vehicle efficiency improvements will require some modification of consumer’s expectations for new vehicles. 
At the same time, government and industry analysts are evaluating options to minimize the adverse impact of expected climatological change such as sea level rise and severe storm events. Trade-offs between adaptation and mitigation policies must be understood and consistent analytic methods will need to be applied to correctly inform public decision making.
The transportation sector has sought to apply uniform standards for economic analysis of transportation projects and programs across states. One effort was the AASHTO sponsored development of a guidebook and software for the application of economic analysis in transportation programs. The so called AASHTO Red Book, “A Manual of User Benefit Analysis for Highways, 2nd Edition” was developed by a previous NCHRP Project #02-23. One possibility for the current study is to produce an addendum to the Red Book that would serve as a key reference source for the application of economic analysis to climate change mitigation and adaptation evaluation.
Objective
The objective of this research is to identify and explore the methods currently employed to evaluate GHG emissions mitigation and adaptation options. From this research, the study team will develop a set of guidelines and methods for economic analysis of transportation policies and programs that address climate change. The research should address the following questions:
·        How have the federal government, state and local governments, non-profit organizations and the private sector evaluated public policy and program actions in the transportation sector to mitigate the impacts and adapt to changing conditions brought about by climate change?
·        How have policy and program actions in other sectors been evaluated and are these techniques equivalent to those identified in the transportation sector?
·        What data is currently available to carry out these analyses and what new data may be required for a full and comprehensive analysis? Who should be responsible for collecting and making these data available to all?
·        What level of economic analysis, including benefit/cost, micro and macro economic impact, cost effectiveness and other techniques are appropriate?
·        What analysis is required to address price or market instruments, such as cap and trade or efficient pricing strategies?
Transportation analysts should be able to look to a common reference for analytic methods to evaluate these transportation responses to GHG emissions and climate change. These methods should reflect the state of the science in policy and program analysis and be accessible to all and reproducible. The range of analysis should cover all modes including non-motorized, all traditional forms of economic analysis, both internalized and external costs and indirect impacts such as those identified from land use.</t>
  </si>
  <si>
    <t>Three-Dimensional Approach for Measuring Pavement Macrotexture</t>
  </si>
  <si>
    <t xml:space="preserve">http://rns.trb.org/dproject.asp?n=25426 </t>
  </si>
  <si>
    <t>Problem: Functional pavement considerations have become an important part of pavement performance and management.  Optimum pavement wearing surface should provide a high level of safety, minimum environmental impact and good economy, in other words, low life-cycle cost, good ride quality, good friction, low rolling resistance, and low levels of noise and splash and spray. These functional characteristics all relate in some way to the pavement texture that determines how the tire interacts with the pavement. Macrotexture, which is the "medium-sized" component of pavement texture, is a dominant contributor to wet skid resistance, tire/pavement noise generation, rolling resistance, and splash and spray.  Adequate, effective, and rapid assessment of pavement macrotexture can be used to support wet-accident reduction programs, help reduce splash and spray conditions, promote lower tire/pavement noise production, promote lower energy consumption through low rolling resistance, and monitor the quality of the finished traveled surfaces. 
Currently available technologies for measuring pavement texture use a spot-laser (~1mm imprint) to measure the texture of the pavement. Nevertheless, there are a few systems using laser line sensors instead of spot-lasers. These may produce nice picture illustrations of the three-dimensional surface macrotexture but lack sufficient resolution, accuracy and speed for mobile data collection and advanced quantitative analyses. The conventional laser spot systems, mapping the surface in two dimensions (i.e. providing a profile curve) may miss important features due to the very thin profile obtained.  An example is pavement textures which are not isotropic but have features which are different in different directions; such as tined or diamond ground concrete. Recent research suggests that current interpretation methods, which compute either a wavelength spectrum or a single number representing the texture, such as mean profile depth (MPD), may not be adequate in applications requiring advanced modeling of the tire/pavement interaction. A three-dimensional (3D) measurement, however, will provide a more realistic and comprehensive assessment of the pavement texture. This would help understand and model the tire/pavement interaction, and its implication on friction, noise, splash and spray, and rolling resistance.  Thus, it is important to start using three-dimensional texture measurement for more comprehensive measurement of pavement texture.
A particularly important need is to evaluate gyratory compactor laboratory specimens (top and bottom) and field cores using the 3-D process to better quantify friction and texture during the mix design and field construction processes.  This evaluation could help develop improved safety performance prediction models, which could be monitored in the field and refined.  This is a critical issue that is largely being ignored at the present time.
Objective: The objectives of the proposed project are to:  (1) investigate current and emerging approaches to measure surface macrotexture and the various uses for the information collected, (2) evaluate the various available approaches/methods for measuring the pavement surface in 3D, both stationary and at highway speeds, (3) review and evaluate the various parameters/indicators that could be used to characterize the macrotexture and how well they can be used to predict friction, noise, splash and spray, and rolling resistance, and (4) propose the development of new standard(s) for three-dimensional macrotexture measurement and analyses so that in the end the industry can follow them for developing new approaches/devices.</t>
  </si>
  <si>
    <t>Measuring Upgrades to Bus Transit</t>
  </si>
  <si>
    <t xml:space="preserve">http://rns.trb.org/dproject.asp?n=24844 </t>
  </si>
  <si>
    <t>This synthesis project examines bus transit lines that have recently undergone ITS and/or operational improvements that have created more dedicated, Bus Rapid Transit (BRT) type services such as those encouraged by the Small Starts Program. The idea is to look at two key factors – ridership and customer satisfaction – both prior to and following the transit line upgrades. The result will inform transit planners and operators on the relative cost-effectiveness of such upgrades, as well as the results they can expect from implementing similar upgrades on their own systems.
This research will be conducted in three phases. In the first phase the researchers will look for possible case studies of bus transit lines where substantial upgrades to bus transit lines have been made on the last ten years. Improvements could include any combination of the following: installing substantial stations, creating separate bus lanes, creating signal priorities for buses, putting in “next bus” message signs, low-floor buses or level boarding, implementing a pre-payment system, improved branding, and increased service frequencies. In the second phase, researchers will collect the relevant data on the chosen case studies including cost of the upgrades, any customer satisfaction surveys or proxy, and ridership data. Researchers will also collect information on other factors that potentially influence ridership, such as fare level, changes in service quantity and quality, and local economy, and will take into account these factors to conduct a sensible analysis on the effect of ITS improvements on ridership. In the final phase the researchers will analyze the data and report on the effectiveness of these upgrades as measured by this specific data.</t>
  </si>
  <si>
    <t>Optimizing Flexible Pavement Performance Based on Aggregate Physical Properties</t>
  </si>
  <si>
    <t xml:space="preserve">http://rns.trb.org/dproject.asp?n=22502 </t>
  </si>
  <si>
    <t xml:space="preserve">I. Problem Studies over the last four decades have identified and demonstrated the effects of aggregate morphological properties (particularly shape, size distribution, angularity and texture) on the mechanical properties of hot mix asphalt (HMA). Other studies have focused on aggregate test methods; most notably, perhaps, NCHRP 4-30A recommended test methods to accurately and rapidly measure aggregate shape, texture and angularity. None of these studies, however, have clearly established relationships between the aggregate properties and the ultimate pavement performance. Therefore, they have not provided methods to optimize aggregate properties at the design stage to improve that performance. Research is needed to relate aggregate properties to flexible pavement performance and adequately account for the pertinent properties in design. The properties of shape, texture and angularity can now be measured with automated techniques that offer higher precision than conventional methods. In addition to these properties, other factors to consider include aggregate point and mass strength as well as the effects of blending. Pavement performance properties to be considered and optimized include durability, resistance to loads, frictional properties, etc. The current (and likely continuing) state of the economy necessitates finding more economical pavement designs, which will likely require the use of more locally available aggregates of the beneficiation of marginal materials. The impacts on pavement performance of using these materials, however, must be understood to adequately quantify their effects on the pavementâ€™s service life and life cycle costs. II. Objective The objective of this work is to develop quantitative relationships between aggregate and asphalt cement (AC) properties measured in the laboratory with field performance of flexible pavements. Advanced analytical methods, including modeling and simulation, should be employed in establishing these relationships. Then, develop methods to optimize available aggregate selection for HMA designs based on the physical properties of the aggregates such that the pavement performance is maintained or improved while the economics are optimized. Deliverables will provide a process to use of aggregates with wide ranges of physical characteristics in the design of HMA. The following tasks are considered necessary to achieve these objectives: Phase I 1. Literature Search: Review and summarize existing literature on HMA aggregate properties, HMA performance, blending of aggregates, and existing relationships between aggregate morphological characteristics, laboratory AC properties, and HMA performance. 2. Aggregate Characterization: Identify aggregate properties and categorize the test methods to measure at least shape, texture, angularity, point and mass strength, absorption, and hardness. 3. AC Characterization: Identify AC properties used in HMA design and pavement performance evaluations. 4. HMA Characterization: Identify test methods and procedures to assess the performance of aggregates in HMA and in the field where performance has been closely monitored, such as LTPP test sections; accelerated field test sections such as MnROAD, WesTrack and NCAT; and other test sections. 5. Experimental Design: Propose a Phase II research approach for an HMA performance optimization process. Obtain approval from the project panel before initiating Phase II. Phase II 6. Perform aggregate characterizations to obtain relevant aggregate morphological and other characteristics of aggregates used in field test sections. Identify and characterize other aggregates with a range of properties, including aggregate blends including marginal materials with higher quality aggregates to meet combined properties. 7. Design HMA mixtures according to the current nationally accepted requirements for the design of pavement layers using the aggregates from task 5. 8. Measure the performance of aggregate blends in HMA using laboratory performance tests and accelerated loading tests. 9. Adjust the aggregate blends and mix designs based on aggregate properties and demonstrate the influence of these adjustments on performance. 10. Evaluate the relationship of field performance and laboratory test results to aggregate properties. 11. Develop advanced analytical methods to establish the relationships and validate them statistically. 12. Recommend aggregate tests and properties that correlate best with field performance. 13. Develop new aggregate tests as needed to complete the correlation of aggregate characteristics with flexible pavement performance. 14. Develop guidelines for adaptable design methods for HMA pavement layers, including consideration of aggregate properties and aggregate blending. 15. Recommend performance-based limits for pertinent aggregate properties. 16. Develop a plan for future field validation of the recommended tests, design methods and performance limits as well as an implementation plan to move the deliverables into practice. 17. Produce and publish a final report documenting the results of this research. III. Key Words and Subjects Aggregates, Hot Mix Asphalt, Optimization, Pavement Design, Performance Evaluations Highways, Construction, Design, Materials, Pavements </t>
  </si>
  <si>
    <t>Best Value Granular Materials for Pavements and Road Bases</t>
  </si>
  <si>
    <t xml:space="preserve">http://rns.trb.org/dproject.asp?n=22501 </t>
  </si>
  <si>
    <t>I. Problem The availability of higher quality aggregate material is decreasing in many parts of the country as gravel mines and rock quarries are depleted or lost to other land uses. However with prudent consideration, other lesser quality sources may prove equally acceptable offering a best value. Most agenciesâ€™ aggregate material specifications and tests apply uniformly without providing the flexibility to balance cost and quality of a wider range of aggregate resources. Traditionally this has been ideal to produce long lasting roads, but there are significant opportunities to still provide adequate roads and achieve better value. The aggregate type and quality are important factors for determining required thicknesses of unbound aggregate layers whether the application is in the pavement working platform construction or in low to medium volume pavement design applications. Various locally available aggregates or granular materials can be used to replace unsuitable soil or construct a flexible pavement base layer. Denseâ€graded aggregates are usually preferred for constructing such a layer with the primary function to serve load distribution. Aggregates with high fines (minus No. 200 sieve size) contents and/or excessive Plasticity Index (PI) values may exhibit increased or high moisture sensitivity to negatively impact performance. When fines are low in percentage and nonâ€plastic in nature, it is often the aggregate shape, angularity (crushed or uncrushed) and texture properties that impact the rutting potential of the unbound layer. Project NCHRP 4â€30A â€œTest Methods for Characterizing Aggregate Shape, Texture, and Angularityâ€ has recommended test methods that accurately and rapidly measure physical characteristics of aggregates (shape, angularity, and texture). However, this study did not specify the acceptable limits for shape, angularity, and texture and did not evaluate the impact of these shape characteristics on the design and performance of unbound aggregate layers. The improvement in objectively measuring aggregate characteristics offers the additional opportunity to develop adaptable design methods and specifications that accommodate aggregates with a wide range of physical characteristics. II. Objective The objective of this study is to develop methods to optimize the use of unbound aggregate layers based on the physical properties of the available aggregates such that pavement performance is maintained or improved and economy is optimized. The methodology will be used to characterize locally available materials through improved test methods for physical properties, use aggregate tests better linked to field applications, and accordingly, revise material specifications. The proposed research will identify and characterize aggregates with a wide range of physical characteristics primarily used in pavements and road foundations. Aggregates also used in recent national studies, such as those used in NCHRP 4â€30A â€œTest Methods for Characterizing Aggregate Shape, Texture, and Angularityâ€ and 4â€34, â€œApplication of LADAR in the Analysis of Aggregate Characteristicsâ€ with different types and properties will be best candidates to be studied within the project scope. Better comparative performance evaluations will be established through current and improved laboratory tests and collected field performances addressing effects of aggregate properties, such as gradation (size), shape, texture, angularity, percent fines, plasticity index, etc. on the aggregate structural (i.e., strength and modulus) and drainage behavior. New aggregate blends and improved designs based on aggregate properties will be studied to demonstrate the influence of property adjustments on performance improvements. The proposed research will also conduct sensitivity analyses for mechanistic design moduli inputs for different quality aggregate base materials using the MEPDG program to generate pavement life expectancies. This project will allow the use of aggregates with wide ranges of physical characteristics in unbound aggregate layers. The project deliverables will be a final report and a set of guidelines for best value aggregate material selection intended to provide engineers, designers, and aggregate producers with proper aggregate index properties and improved specifications linked to field application requirements.</t>
  </si>
  <si>
    <t>Importance of Corporate Aircraft Manufacturing to the U.S. Economy</t>
  </si>
  <si>
    <t xml:space="preserve">http://rns.trb.org/dproject.asp?n=21824 </t>
  </si>
  <si>
    <t xml:space="preserve">Building of corporate aircraft is one of the few manufacturing areas left in the US.  What is its contribution to the gross national product (GNP), jobs, balance of trade, etc.  Do we want to chase another sector overseas?
</t>
  </si>
  <si>
    <t>Effect of Superstructure Flexibility on Bridge Deck Cracking</t>
  </si>
  <si>
    <t>http://rns.trb.org/dproject.asp?n=20749</t>
  </si>
  <si>
    <t xml:space="preserve">II.      RESEARCH NEEDS STATEMENT
One of the biggest problems facing the bridge engineering community is the cracking and deterioration of concrete bridge decks. For a long time, it was believed that superstructure flexibility had no effect on bridge deck deterioration. Recent field research and observations suggest that superstructure flexibility plays an important role in bridge deck deterioration. These observations are equally true for steel and concrete bridges. In the US, there is a trend to use higher strength concrete and steel for construction of bridge superstructures. For economy, bridges are being built with longer spans and larger girder spacing. Further, availability of sophisticated (computerized) analytical tools and load distribution factors based on more refined bridge analysis are being used to reduce the design loads for individual members. Therefore, bridge superstructures being designed today are more slender, and hence, more flexible than ever before. 
III.     RESEARCH OBJECTIVE
The objectives of this project are to evaluate the effect of superstructure flexibility on concrete bridge deck cracking, deterioration, identify parameters that accelerate this deterioration, and develop criteria to design and build more durable bridge decks. </t>
  </si>
  <si>
    <t>Macroeconomic Consequences of Elderly Mobility Loss and Mitigation Policy</t>
  </si>
  <si>
    <t xml:space="preserve">http://rns.trb.org/dproject.asp?n=18441 </t>
  </si>
  <si>
    <t>Background
          Because birthrates rose dramatically in the two decades following the conclusion of World War II and thereafter declined, and further owing to the extension in expected lifespan enjoyed by that generation, the domestic population will likely include an unusually large proportion of elderly for a span of 30 years or more commencing in or around 2016.  Considerable wealth has been accumulated by members of this “baby boom” which has also distinguished itself from its predecessor in liberal spending behavior.   Anticipating this demographic shift, state and federal government transportation officials have developed evidence that this population will be challenged to preserve its mobility.
          It has been widely reported that about two thirds of  the Gross Domestic Product of the United States (GDP) is attributable to consumer spending.  It is reasonable to conclude that the spending power of the generation described above plays a substantial contributory role in the GDP.
          There is a demonstrated association between driving cessation and a drop in consumption by about half (1).   Among the elderly, non-drivers make 13 shopping trips per month, while drivers make 30 shopping trips per month(2).  
Statement of the Problem
          Because economic conditions are sensitive to modest fluctuations in activity, concern has arisen that loss of mobility among the wealthiest generation in the nation’s history could result in sequestration of a substantial part of that cohort’s wealth.  Were this to occur, it would coincide with a period of anticipated fiscal stress during which the number of retirees reaches its peak.
          State and Federal governments need to know if  elderly mobility loss during the period years 2015 through 2045 will likely result in injury to the economy, and whether elderly mobility policy can mitigate that injury, if any.
          An investigation of the available data sources and an analysis under several assumption sets may be expected to predict the constructive economic potential for elderly mobility policy.
Objective
          To measure the anticipated economic contribution of that part of the population born between 1948 and 1966 in the context the anticipated greater economic setting between years 2015 and 2045,  to project the likely effect on that contribution of expected mobility loss among the cohort,  and to project the potential effect of three possible policy approaches; Restrictive, Laissez-faire, and Mobility Enabling.</t>
  </si>
  <si>
    <t>Transit Revenue and Inventory Security Guidebook</t>
  </si>
  <si>
    <t xml:space="preserve">http://rns.trb.org/dproject.asp?n=17799 </t>
  </si>
  <si>
    <t>Transit revenue theft by transit employees and the general public is a problem that needs to be addressed.  Employee theft, in particular, may frequently go unnoticed because employees are cognizant about transit operations and have daily access to revenue and inventory storage areas as well as other sensitive areas of the agency.  In transit systems using smart cards or Automated Fare Collection systems, revenue theft by employees is minimized by reducing the cash that is accessible to employees.  However, revenue theft still occurs through reprogramming of smart cards by sophisticated hackers who may or may not be employed by the agency.  Light rail systems are particularly vulnerable to fare evasion problems due to the use of the honor system and the lack of turnstiles or other access control mechanisms.  Fare evaders are typically caught only when transit personnel conduct fare checks; therefore while many fare evasion citations are issued each year it is believed that many more fare evaders succeed in stealing revenue from transit systems. In addition, transit systems have inventories of a wide range of supplies that may be accessible to their employees.  A NJ Transit employee was charged with stealing more than $23,000 in transit inventory and replacement bus parts and then selling the stolen items via the Internet. While some of the revenue and inventory security tactics coincide with general security practices (e.g., use of video surveillance), there are other specific strategies that may be used and issues that need to be considered.  They are as follows: (A) Securing and accounting for unregistered funds: for example revenues may be collected from passengers during special events in bulk (e.g., using large bins) to alleviate congestion. Currently there is no registering mechanism to account for the amount of money placed into the bins.  Because the unregistered funds have an unknown value, the funds are vulnerable to tampering; (B) Protection of funds during collection and transit; (C) Need for dual controls: the business standard of dual controls in cash handling and accounting is not regularly practiced in transit agencies.  If only one person is entrusted with the collection, counting, and reporting of funds, then the funds are vulnerable to pilferage.  There should be two persons to open a vault, and two persons present when cash is exposed, etc.; (D) Need for a separation of duties: A separation of duties ensures that the person who makes an accounting entry would be unable to make an adjustment to that entry; (E) Need for both internal and external audits on regular and random basis; (F) Need for a fusion of intelligence: for example if a senior employee of the cash collection facility is regularly shopping at high-end stores and police or other employees become aware of this, red flags need to be raised and a mechanism in place to report this possibly innocuous activity; (G) Lack of funding for access control and other electronic security measures; and (H) Development of a security mindset: employees are not always "security smart" in that they become oblivious to their surroundings while transporting or handling cash, they do not utilize all of the security safeguards provided to them because it makes doing the job easier, and their managers are reluctant to advance this agenda due to fears that some employees will accuse them of thinking they are thieves by mandating security controls. The Guidebook will define the transit revenue security and inventory control issues for transit agencies and vulnerabilities for transit systems of different modes using different fare collection systems.  The attributes of revenue and inventory control practices and methods will be compared and best practices for each system type will be recommended. 
IV.          RESEARCH PROPOSED
Phase 1
Task 1 – Review of Literature and Relevant Resources
Relevant transit revenue and property crime literature, anti employee theft resources and security experts and transit police departments should be consulted.   
Task 2 – Conduct Survey of Transit Agencies
Conduct a survey of transit agencies to identify the extent of revenue and inventory theft and proportion of thefts perpetrated by employees.  Also, identify the protective measures in use to prevent theft by employees and by the general public.  Determine factors such as the type of fare collection system that affect the rate of revenue and inventory theft. 
Task 3 – Identify Revenue and Inventory Security Measures
Based on the information obtained in Tasks 1 and 2, identify revenue and inventory security measures. Provide a selection strategy for the measures – the strategy should take into account such factors as effectiveness, ease of implementation, scalability, and any liability issues that may arise.  In addition, acceptability of the measures to employees and the general public should be taken into account.
Task 4 – Interim Report
Based on the information obtained in Tasks 1, 2, and 3, produce an Interim Report, and recommend 5-7 transit agencies at which the Revenue and Inventory Security Measures Selection Methodology may be tested.  Details on how Phase 2 tasks may be accomplished should be included in the report. 
The panel will review the interim report, the selection methodology, and the transit agencies recommended as test agencies for the methodology.  Panel feedback will be provided within a month and will be incorporated by the contractor into Phase 2 tasks. 
Phase 2
Task 5 – Test Methodology at 5-7 Transit Agencies
The Selection Methodology will be tested at the selected transit agencies, and feedback on the methodology will be obtained. 
Task 6 – Revise Selection Methodology according to Lessons Learned from Task 5
The Selection Methodology will be revised according to the results of Task 5.
Task 7 – Prepare a Final Report including the revised Selection Methodology, an Executive Summary, PowerPoint presentation slides, and description and results of each task.</t>
  </si>
  <si>
    <t>Develop a Comprehensive Evaluation Framework and Tools for Vehicle-Infrastructure Cooperative Systems</t>
  </si>
  <si>
    <t xml:space="preserve">http://rns.trb.org/dproject.asp?n=17628 </t>
  </si>
  <si>
    <t>Background:
Deployment of comprehensive vehicle-infrastructure cooperation as envisioned in the VII initiative will require investments of billions of dollars by public agencies, private industry and private individuals.  Before such large investments can be made, the investors need to see clear indications of the comparison between the benefits they will receive and the costs they will incur.  Vehicle-infrastructure cooperation involves such complex interactions within the transportation system, and with the economy as a whole, that conventional transportation project evaluation approaches are not likely to be adequate.  New evaluation approaches will be needed to simultaneously satisfy the needs of the decision makers in the political, corporate, financial and consumer sectors.
It is possible to evaluate some aspects of vehicle-infrastructure cooperative system feasibility and viability by means of mathematical analysis and simulation methods, although new models will probably be needed.  However, other aspects will require experimental verification.  Because of the scale and complexity of the system envisioned in the VII initiative, these experiments will likely have to be quite large and costly in order to produce credible results.  Careful attention needs to be devoted up-front to defining the types of testing and the scale of the tests that will be needed in order to provide the knowledge that is critical to support informed decision making about VII deployment.</t>
  </si>
  <si>
    <t>Public-Private Partnerships for Increasing Capacity in Rail Corridors</t>
  </si>
  <si>
    <t xml:space="preserve">http://rns.trb.org/dproject.asp?n=15883 </t>
  </si>
  <si>
    <t>I. Research Problem Statement
Rail capacity in many parts of the U.S. is stretched to its limits. At the same time, the freight railroad industry is entering an era of new constraints on its financial performance. Intermodal traffic is the fastest growing component of rail freight traffic and has put considerable strain on the capacity of the existing infrastructure. Further projected growth in freight overall and intermodal in particular will cause more capacity constraints and issues.
Public agencies face a similar situation: highways are over capacity, freight traffic is exploding, and the financial resources to accommodate growth are limited. Adding rail capacity provides significant relief in the intermodal supply chain while relieving the need for enormous costs in highway construction and maintenance. The Freight Rail Bottom Line Report issued by the American Association of State Highway and Transportation Officials (AASHTO) indicates that at the current investment level, the freight rail system could carry the same volume of freight in 2020 that it does today, but little more. With more freight added to the highway system, AASHTO estimates that over a 20-year window, costs to shippers would equal $326 billion, costs to highway users would equal $492 billion, and additional highway costs would equal $21 billion (not counting additional maintenance and bridge costs).
As the demand for both freight and passenger transportation grows and the available land and funding resources dwindle, there is a need to maximize the use of all existing transportation facilities, including those privately owned. Today there are a few good examples of public-private partnerships (such as CSX in Virginia and the District of Columbia), but there is a need for more. The U.S. needs to analyze the benefits of public investment in rail infrastructure to benefit intermodal transportation commodity flow, including at major terminals, without diminishing private corporate activity and investments of the owning railroads.
II. Research Objectives
The goal of this project is to identify the benefits of public investment in rail infrastructure to enhance capacity and efficient flow of freight. Specific objectives are to:
Identify locations where rail capacity constraints exist,
Identify where public investment in passenger rail infrastructure is anticipated,
Quantify the cost of adding rail capacity,
Identify a mechanism for the development of public/private partnerships for planning and implementation of such capacity improvements, and
Quantify benefits to the U.S. economy at large from the implementation of rail capacity improvements, including highway cost savings and productivity gains</t>
  </si>
  <si>
    <t>ABJ90, Freight Transportation Data</t>
  </si>
  <si>
    <t>Integrated Assessment of Freight Data Needs for Management and Policy Decisions</t>
  </si>
  <si>
    <t xml:space="preserve">http://rns.trb.org/dproject.asp?n=14700 </t>
  </si>
  <si>
    <t>II.        RESEARCH PROBLEM STATEMENT
Both the public and private sectors need freight data.  The private sector uses freight data to improve logistics and marketing while the public sector uses freight data to manage and improve the transportation infrastructure.  Without systematically identifying all the potential uses of freight data, it is difficult to identify synergies (i.e., opportunities to collect data once for multiple purposes) or priorities (i.e., where resources should be focused first) for data collection.  There is a need to identify the key questions that the public and private sectors are trying to answer with freight data to serve as the basis for  designing and supporting a data collection effort to meet those data needs.  Otherwise, efforts lack a focus, resources are scattered, and support for essential freight data is diffused.
To fulfill this need it is necessary to understand the key freight operations, management, and policy decisions that rely on quality freight data. These decisions should be mapped to data needs, and the common freight data needs should be summarized.  This would result in a core set of national freight data to support both public and private sector decision-making.
III.       OBJECTIVE
The objective of this research is to define the core data needs for public and private freight transportation decision-making at all levels (national, state, regional, and project/site). The anticipated product will be a compendium of the data needed to address high priority freight issues, including system inventory and usage, performance measures and outcomes, problems and obstacles, and environmental/community impacts.</t>
  </si>
  <si>
    <t>Fuel Economy and Global Warming: Understanding Consumer Behavior and the Increasing Awareness of the Link Between Fuel Consumption and Global Warning</t>
  </si>
  <si>
    <t xml:space="preserve">http://rns.trb.org/dproject.asp?n=14295 </t>
  </si>
  <si>
    <t>The first goal of this project is to study and understand all aspects of consumer behavior—how they get information on fuel consumption, what they do with it, how it influences their purchase decisions, how much they value the fuel savings, and why they do not value fuel savings for the full useful life of a vehicle. The project should provide information that would help researchers assess the consumer’s value of fuel savings. It should also include an assessment of how much energy security concerns might affect consumer decisions. The second goal is to assess ways to increase public awareness of the link between fuel consumption and global warming. Different strategies should be assessed, including, but not limited to, consumer education campaigns, advertising, social marketing, and outreach to schoolteachers and administrators. Similar cases, such as the increasing public concern with criteria air pollutants, should be evaluated and assessed for relevant lessons.
A variety of research tools should be considered for each goal, including focus groups, surveys, and experimental economics.</t>
  </si>
  <si>
    <t>Potential Travel Responses to Alternative Highway Pricing and Financing Systems and the Impact of Fuel Consumption and Greenhouse Gas Emissions</t>
  </si>
  <si>
    <t xml:space="preserve">http://rns.trb.org/dproject.asp?n=14292 </t>
  </si>
  <si>
    <t>The proposed research would be conducted in several steps:
1. Identify external costs of highway transportation that are sensitive to changes in the level of vehicle-miles traveled and select the best available estimates of their magnitude and reasonable range from the available literature.
2. Identify traveler-paid costs that vary with mileage traveled but are commonly paid in fixed increments because of institutional arrangements, custom, or other reasons, and estimate their per-mile values.
3. Identify the structure and level of taxes currently used to finance transportation infrastructure investments, highway maintenance, and road system administration, including motor fuel, taxes, vehicle registration fees, local property taxes, etc.
4. Identify alternative pricing structures for (1) each component of costs now covered by motor fuel or other transportation-related taxes, (2) each motorist-borne cost component now paid in fixed increments, and (3) each empirically significant external cost element associated with highway travel. One of the alternatives should represent an attempt to maximize the social welfare of the highway transport system by economically efficient pricing.
5. Use available behavioral theories and empirical evidence (e.g., price elasticities) to develop a consistent analytic framework for predicting potential behavioral changes in response to the replacement of existing fuel and other transportation taxes and fees with alternative charge structures based on “internalizing” external costs of highway travel and converting fixed vehicle and driving-related expenses to a per-mile or other variable basis. Behavioral changes of interest should include household vehicle ownership levels and vehicle type choices, household-level or fleet-wide average vehicle utilization and total vehicle-miles traveled, vehicle and fleet fuel economy, trip characteristics (frequency, timing, length, etc.), density of development, motor fuel consumption, and emissions of National Ambient Air Quality Standards criteria pollutants, and greenhouse gases.
6. Assess the willingness of the public to accept new pricing systems and technologies (vehicle based and nonvehicle based) and the perceived privacy issues.</t>
  </si>
  <si>
    <t>Assessment of Opportunities to Integrate and Supplement Safety and Security Measures for Hazardous Materials Transportation</t>
  </si>
  <si>
    <t xml:space="preserve">http://rns.trb.org/dproject.asp?n=14247 </t>
  </si>
  <si>
    <t xml:space="preserve">Description of the Need
In all 50 states and U.S. territories, the flow of commerce includes the movement of flammable, explosive, caustic, and biological materials that pose fundamental risks to the public if they are accidentally or deliberately released. At the same time, the continuous flow of these hazardous materials is essential to the strategic functions of the national economy and national defense. Risks to public health and safety are managed, minimized, and mitigated by systems for handling and moving hazardous materials with highly developed safety and accountability features. The excellent record of safety in these systems is largely due to the diligence of shippers and receivers working closely with federal, state, and local regulatory and enforcement agencies.
PHMSA promulgates and enforces regulations for the safe transportation of hazardous materials. The regulations are harmonized with the standards and guidance of international organizations such as the United Nations, the International Civil Aviation Organization, and the International Maritime Organization. The carrier regulations are organized according to the transportation modes of rail, highway, air, and water. The modal agencies share in enforcement. All of the modal agencies are under DOT with the exception of USCG, which has transferred to DHS. Environmental Protection Agency (EPA) and Department of Labor (DOL) rules overlap with those for transportation in a few areas, particularly when materials are stored and in waste transport.
The threat of terrorism now requires a distinction that at once must be well measured and well managed. Making this distinction requires explicit consideration of the extent to which the inherent safety of hazardous materials handling systems translates into satisfactory levels of security for hazardous materials in transit. For example, does a gasoline tank truck moving along a primary highway that is safe in structure and operation require additional protections to reduce vulnerabilities to attack, hijacking, or theft by terror-minded individuals or groups? Is a train consisting of 100 or more tank cars of propane and caustic materials passing through a highly populated area not only safe but also secure from attack?
There are few regulations specifically for hazardous materials transportation security. PHMSA has a requirement for security plans. A recommendatory program is administered by FMCSA for highways. TSA set forth new requirements for issuance of hazardous endorsements to commercial driver’s licenses. USCG regulations implementing the Maritime Transportation Security Act address certain dangerous cargoes at marine terminals. USCG has requirements for ships carrying certain dangerous cargoes. Both TSA and FRA have proposed new rail security regulations.
Safety and security regulations are promulgated and enforced by at least nine agencies under four departments of the federal government. More security regulations are expected. The multiplicity of regulating agencies gives rise to the risk that the security rules of one will negatively affect a safety issue addressed by the rules of another. It also raises the possibility that advantages to security offered by safety requirements will not be fully appreciated, and vice versa.
Research Objectives
First Phase
    Identify areas where safety and security measures are compatible or may complement each other.
    Identify areas where safety and security measures may conflict or where measures to enhance one may compromise the other.
    Identify where security requirements warrant attention beyond what is required for safety performance.
    Determine whether there should be any difference between the response to and remediation of “traditional” hazardous materials incidents and those resulting from terrorist attacks.
    Outline a comprehensive approach to hazardous cargo transportation that addresses both safety and security issues. 
Second Phase
    Produce national standards formulae for rational state and local decisions about safety and security risks related to the movement of hazardous materials.
    Produce a model for reasonable state and local risk response and management plans related to both safety and security needs. </t>
  </si>
  <si>
    <t>Survey Design for Activity-Based and Tour-Based (ABTB) Model Calibration</t>
  </si>
  <si>
    <t xml:space="preserve">http://rns.trb.org/dproject.asp?n=14197 </t>
  </si>
  <si>
    <t>Task 1:  Model Assessment and Data Needs of ABTB:
There is considerable discussion on the inadequacies of the four-step trip-based modeling process.  At present nearly all urban areas use this approach, in one form or another and alternative methods are in the experimental stage, such as activity-based and tour-based models, with a few ones being implemented and applied.  Given the emergence of activity-based and tour-based models, surveys (whether household travel surveys, transit on-board surveys, etc…) must be designed in ways that meet the needs of such efforts, and would most likely be designed differently, compared to surveys used for trip-based models.  This task shall highlight such differences.
Task 2:  Data Collection and Survey Needs of ABTB:
Data collection efforts must be coordinated with the methods used to develop activity-based models.  In some cases, urban areas have spent considerable amounts of money to obtain data only to find out that the state of the practice models require additional information or do not require the information collected.  For example, it is possible that a sate of the art mode choice model can have station selection, mode of arrival selection and sub-mode (e.g. rail versus bus) selection.  But this type of model cannot statistically be calibrated if the travel survey data does not collect the station a person chooses, how the person access the station, and what transit sub-mode the person used.  While the level of effort for data collection is substantial, it may not be sufficient for all the information required by some of the advanced techniques.  This task shall define and identify those needs needing to be fulfilled for ABTB.
Task 3: Regularity, Frequency and Survey Typology for ABTB:
Data collection is a very important element of developing travel demand models.  Only by collecting data applicable to the specified travel demand models can modelers calibrate and validate these models with any degree of assurance that the models are logical and reasonable.  Understanding why and how the residents of a metro area travel is the basis for the development of the travel demand modeling procedures.  This understanding has primarily been obtained from surveys, mostly household travel surveys collected approximately every ten years.  This type of cross-sectional data does have weaknesses.  A possible improvement to the “one shot” travel survey is the panel survey.  In a panel survey the same type of questions are asked of the individuals but the data is collected over a period of time.  It seems clear that the data streams defined for the current types of trip-based models, and activity-based ones too, will continue to be required and that one could implement them as continuous data collection programs rather than large scale episodic survey programs as are commonly done for household travel surveys.  A mixture of revealed and stated preference survey techniques could also be used to elicit information on all aspects of the transportation system, to include modes, services, and technologies not currently available in a region.  This task shall enumerate the different types of surveys available and preferable for ABTB.
Task 4: Weaknesses and Shortcomings of Surveys for ABTB, the case of freight, commercial vehicles and truck movement:
There are categories of trips that have not been commonly recognized in regional travel demand models but which are currently becoming the focus of attention in more and more urban areas, such as commercial vehicles.  Modelers in general are beginning to realize that business-related travel is poorly identified in household travel surveys.  In fact, the difficulty in identifying such trips and surveying their travel patterns has doubtless kept many modelers from including these trips in their modeling process.  Observation of the traffic stream on any roadway will reveal the basic fact that commercial trips represent a category of travel that is too large to ignore.  Exclusion of these trips results in either underestimating traffic volumes, or, perhaps worse, implicitly incorporating their volume within some other category, most likely non-home-based personal travel.  Since commercial trips obviously have different travel characteristics than most personal travel, accounting for these trips in a separate category would improve the accuracy of any model.  Truck and commercial vehicle modeling has taken on more importance in recent years.  Perhaps the primary reason is that trucks contribute disproportionately to a region’s mobile source emission inventory, especially for NOx and particulates.  The need to meet increasingly stringent regional emission budgets has caused most modelers to examine every possible emission source in greater detail.  Another reason is an increasing emphasis on goods movement and the role of a region’s transportation system in facilitating goods movement, and by implication, the economy.  This task will most specifically focus on freight data, truck traffic movement, and commercial vehicles, and how this can be better addressed within the context of ABTB.</t>
  </si>
  <si>
    <t>Analytic Methods for Evaluating the Economic Development Consequences of New Technologies and Innovations</t>
  </si>
  <si>
    <t xml:space="preserve">http://rns.trb.org/dproject.asp?n=14145 </t>
  </si>
  <si>
    <t>One important area of research is to explore the economic development consequences of productivity-enhancing innovations that are being introduced into existing transport systems. A framework should be provided and benchmarks should be established for understanding the broad economic consequences of these innovations. To be assured that research encompasses the issues important to decision makers in the new millennium, a systemwide and regional economic perspective will have to be maintained. Researchers must be mindful of the direct social effects of transportation investment as well as the economic effects.
This can include any new technologies that can enhance the efficiency of the existing highway system. Examples include intelligent highway systems, congestion pricing, intermodal freight facilities, geographic positioning systems, and instrument landing systems. Within each of these areas, numerous innovations are being developed. Policy makers and practitioners need to gain a clear understanding of the effects of these innovations on economic development through enhanced delivery of transportation services and a more efficient use of scarce resources. Scarce resources may extend beyond transportation investment dollars to include land use, air quality, and noise pollution.
In this context, it becomes critical that highways, rail lines, airports, and seaports be considered as a system, where the system goes beyond the fixed infrastructure, such as a stretch of highway or a rail line, to include the vehicles that use the infrastructure. The concept of intelligent highway systems underscores this trend. Simply put, vehicles are being linked to each other and to traffic control devices to improve the efficiency of the total highway system. Similar types of innovations in intelligent traffic management are emerging for air, sea, and rail systems.
To accomplish this kind of evaluation, it also becomes important for researchers to consider the more fundamental issues of understanding the effects of different “attributes” of highways (and other modes) on economic development. That is, do we know anything about the effects on productivity of reducing highway congestion or improving pavement condition? These attributes are in fact what new technologies are attempting to address.  Yet, we do not currently have solid empirical evidence of the effects of these attributes.
Exploring the economic effects of components or attributes of highway systems is essential in informing the policy debate and in aiding the efforts of local decision makers.  That is particularly important insofar as we are at the point of tweaking existing infrastructure systems with capacity adjustments and new technologies.  From an economic perspective, that makes for economic decisions that are much more subtle and harder to measure. Yet the importance of these decisions for economic development is still growing as we continue to move into a more globally competitive economy.</t>
  </si>
  <si>
    <t>Movements of Imported Goods within the United States</t>
  </si>
  <si>
    <t xml:space="preserve">http://rns.trb.org/dproject.asp?n=14118 </t>
  </si>
  <si>
    <t>The U.S. transportation system carries merchandise imports valued at well over $1 trillion. But what happens to these imports once they enter the United States? Current (or currently accessible) data sources do not answer this question with any significant degree of certainty as to mode and/or final destination. This imported freight may change ownership and use more than one mode of transportation prior to reaching its final destination. With the percentage of imported goods consumed locally varying a good deal by US port of entry, it is difficult to track where these imports are going –  directly into the US interior; locally or inland after storage at a nearby distribution center; locally right off the dock; or from one coast to another. Often this freight is drayed to a nearby distribution center where it may become re-classified as “domestic” freight.
A number of federal agencies are involved in the collection, processing and dissemination of international trade and transportation data.  US merchandise trade statistics are processed and released by the Census Bureau’s Foreign Trade Division.  Census international merchandise trade data are captured from administrative documents required by the Departments of Commerce and Treasury.  The US Customs Service collects these documents at the port of entry, unless the information is filed electronically. Census releases overall trade and transportation statistics that include data elements on the value, commodity, weight, country of origin and destination, and US port of entry.  Many agencies obtain special extractions from the Census Bureau and then perform additional analyses to meet customer needs.  These include:
    data on North American land trade, further processed and disseminated as the Transborder Surface Freight Data by the Bureau of Transportation Statistics;
    data on US international maritime trade, further processed and disseminated by the Maritime Administration and the Army Corps of Engineers;
    data on U.S. transportation related goods and overall trade, released to BEA/DOC and disseminated in multiple formats; and
    the Port Import Export Reporting Service (PIERS), a popular private sector product based on Customs data.
Imports are “out of scope” as far as the US Commodity Flow Surveys are concerned.
Several challenges arise when using these multiple data sources, including variations in accuracy, reliability, and data field definitions. Merchandise trade data currently defines only the last mode used to get freight into a US port of entry. It does not distinguish goods moved by intermodal combination. And in many cases the reported US port of entry is the port of duty filing and not the physical port of entry, a situation probably exacerbated in recent years with the increase in electronic filing of cargo information.
Taken together these data gaps and definitional problems make the tracking of imported goods a significant challenge; and one that needs to be faced if we are to understand fully the links between trading patterns, their transportation needs, and the effects on our economy of meeting, or not meeting, these needs in a timely manner.
Study Objective
The proposed research will review and evaluate existing sources of data on imported freight into the United States, identify and quantify the information on the movement of that freight within the United States, identify the data that is needed and currently not available, and develop a recommended plan to collect and measure those data and the agency/source best suited to provide and/or collect that data.</t>
  </si>
  <si>
    <t>Development of Infrastructure Protection Training Standards and Implementation Strategy</t>
  </si>
  <si>
    <t xml:space="preserve">http://rns.trb.org/dproject.asp?n=13914 </t>
  </si>
  <si>
    <t xml:space="preserve">RESEARCH PROBLEM STATEMENT
Critical Infrastructures are the physical and cyber-based systems that serve the necessary functions to all spectrums of needs of individuals, government agencies, and private sectors. Protection of critical infrastructures against from man-made and natural disasters therefore is essential to the overall national security. This research is designed to develop infrastructure protection training standards and their associated training and exercise implementation strategies. The standards need to be developed by synthesizing best practices of infrastructure protection, while the implementation strategies need to address both training assessment and delivery mechanisms and performance measures.
Background
The Executive Order on Critical Infrastructure Protection issued by the White House (on Oct. 16, 2001) stated that infrastructure protection could “help to protect the people, economy, essential human and government services, and national security of the United States.” Extensive research has been conducted since then, focusing on the methodologies and best practices of protecting critical infrastructures. With all these efforts in place, there is an emergent need to develop training standards for security personal or other individuals having responsibility for the protection of critical infrastructures, their departments or within their jurisdictions. The purpose is for them to better understand how to protect the infrastructures under normal and emergency conditions. The developed training standards and materials should be delivered in the most effective manner; therefore, training and exercise implementation methods need to be studied, including delivery mechanisms and assessment performance measures.
Research Objective and Approach
The objective of the project is to develop training standards and associated implementation strategies for the critical infrastructure protection. The training will be used to improve the preparedness, operating capabilities, and coordination among security personal and responsible agencies. The following issues need to be specifically addressed in this research:
    What are the current best practices for performing the critical infrastructure protection?
    What are the training materials and standards that can be synthesized from these best practices?
    What are the most effective training and exercise implementation strategies?
    What are the methods and performance measures that can be used to evaluate the training performance? </t>
  </si>
  <si>
    <t>Freight Impact on Highway Capacity and Level of Service for Urban Conditions</t>
  </si>
  <si>
    <t xml:space="preserve">http://rns.trb.org/dproject.asp?n=13890 </t>
  </si>
  <si>
    <t>RESEARCH PROBLEM STATEMENT
Freight traffic growth has contributed to the growth in vehicle miles traffic as truck traffic has increased at a rate faster than person travel.  Trucks also have a disproportionate impact on roadway capacity particularly on networks dominated by arterials and local streets.  Depending on the context, a large truck can consume the equivalent of several cars worth of roadway capacity due to the physical size, the acceleration, turning radius and other performance characteristics.
This disproportionate growth in truck volume can be attributed to a number of factors including the dispersion of population and employment, the shift of many freight items from rail and other modes to truck and the changes in the economy and business practices such as just-in-time deliveries of inventory items that increase delivery frequencies.
The HCM, the world’s leading source for highway capacity and level of service determinations, provides fairly constant passenger-car equivalence factors by roadway type.  For example, the equivalence factor for signalized intersections is 2.0.  A growing number of professionals question these values, especially under congested conditions.  In stop-and-go traffic, large tractor trailers have a much slower start up time than passenger cars.  Especially relevant are the equivalencies of trucks in areas where loading zones are present.
There is a growing need to quantify the actual affects of trucks on our urban areas to support the ability to safely and efficiently move goods and people in areas where expansion of roadways is generally not an option.  Planners and engineers need to be able to more effectively quantify the impacts of locating shipping intensive land uses and improve the inputs to the tools used to manage traffic.
 With increasing numbers of trucks in our cities and towns providing goods more frequently there are three vehicular occupants groups to consider.  One group in the traditional perspective of the HCM is the auto-driver, and the impact of trucks on delay and travel reliability.  The second group from the perspective of users of the Transit Capacity Manual and transit users is the delay and safety impacts from trucks both along routes and at bus stops.  The third group is truck drivers who are concerned with reliability, access, and safety during on-street loading and loading activities.
RESEARCH OBJECTIVES
The objective of this research is to develop improved, nationally accepted capacity and level of service techniques that better account for trucks in urbanized areas with the intent of updating the HCM.  As a secondary objective, the research should inform users of the Transit Capacity Manual what topics might be pursued on the interaction between truck and bus activities in urbanized areas.
RESEARCH PROPOSED
The following potential tasks should be considered:
1.                  Conduct a literature review focusing on two areas: the impact of trucks on arterials, intersections and how truck drivers evaluate level of service.
2.                  Create a typology of roadway types and elements that are affected by freight movements.  For example, roadway types may be Class I arterials or two-lane highways interrupted by signals.  Roadway elements may include variable effects of lane width by roadway type, turning radius for right turns and presence or absence of loading zones.
3.                  Collect field data from around the nation reflecting the impact of truck movements, truck types, roadway types, roadway elements.
4.                  Assess trucker perceptions of quality of service based on different traffic, roadway, and control conditions, as well as operating results focusing on pick-up and delivery as opposed to long haul activities.
5.                  Compare the results with procedures in the HCM2000.  Coordinate with the HCQS committee and the Committee on Transit Capacity and Quality of Service.  Recommend new equivalence factors and or additional variables for use in the HCM’s interrupted flow methodologies.
6.                  Develop technical reports summarizing findings and recommendations.</t>
  </si>
  <si>
    <t>Moving America Over the Road -- Trucking's Impact on Highway Capacity and Level of Service</t>
  </si>
  <si>
    <t xml:space="preserve">http://rns.trb.org/dproject.asp?n=13889 </t>
  </si>
  <si>
    <t>RESEARCH PROBLEM STATEMENT
Freight traffic growth has contributed to the growth in vehicle miles traffic as truck traffic has increased at a rate faster than person travel.  This disproportionate growth in truck volume can be attributed to a number of factors including the shift of many freight items from rail and other modes to truck and the changes in the economy and business practices such as just-in-time deliveries of inventory items that increase delivery frequencies.  At the same time an increasing proportion of the highway system is undergoing rehabilitation without increasing capacity.  During construction, work zones can have less than ideal conditions from the passenger car perspective in terms of narrower lanes, but the impact on trucks and their influence on smaller vehicles through the work zone is undetermined.
Depending on the context, a large truck can consume the equivalent of several cars worth of roadway capacity due to the physical size, the acceleration, and other performance characteristics.  The HCM, the world’s leading source for highway capacity and level of service determinations, provides fairly constant passenger-car equivalence factors by roadway type.  For example, the factors for level two-lane highways are 1.1, and for freeways and multilane highways 1.5.  A growing number of professionals question these values, especially under congested conditions.  In stop-and-go traffic, large tractor-trailers have a much slower start up time than passenger cars.  Especially relevant are the equivalencies of trucks in work zones.
There is a growing need to quantify the actual effects of trucks on highway facilities that are either purely long-haul or dual purpose in their need to serve both commuters and long-haul freight.  With more of the national system being physically or financially constrained each year, solutions for effectively moving freight traffic are needed.  The ability to better quantify the impacts of the trucking fleet on capacity and quality of service as well as provide alternative solutions in terms of routing, timing, or exclusive use facilities would aid planners and engineers in providing more reliable and potentially safer travel conditions.
With increasing numbers of trucks on the nation’s roadways, the impact of heavy vehicles has become a more significant factor in level of service analysis.  Essentially, the HCM methodologies may be underreporting levels of service on facilities with significant truck volumes.  Furthermore, level of service is primarily reported in terms of passenger car driver perceptions.  However, truck drivers may experience different perceptions.  For example, truckers may evaluate the effect of narrow lanes and stop and go traffic far worse than passenger car drivers or their evaluation criteria may be based on reliability rather than speed.
RESEARCH OBJECTIVES
The objective of this research is to develop improved, nationally accepted capacity and level of service techniques that better account for trucks with the intent of updating the HCM.
RESEARCH PROPOSED
The following potential tasks should be considered:
1.                  A literature review of the impact of trucks on essentially uninterrupted flow highway facilities, how truck drivers evaluate level of service, and operational experience with truck-only facilities.
2.                  Create a typology of roadway types and elements that are affected by freight movements.  For example, roadway types may be freeways/multilane highways, two-lane highways, and interrupted flow arterials with widely spaced intersections Roadway elements may include grades, truck lane restrictions, frequency of access via ramps or intersections or work zones.
3.                  Collect field data from around the nation reflecting the impact of truck movements, truck types, roadway types, and roadway elements on similar facilities with and without work zones to the extent possible.  If truck only facilities exist with conditions reasonably similar to U.S. driving conditions and geometry, obtain operational capacity and level of service information.
4.                  Assess trucker perceptions of quality of service based on different traffic, roadway, and control conditions, as well as operating results.
5.                  Compare the results with procedures in the HCM2000.  Coordinate with the HCQS committee.  Recommend new equivalence factors for use in the HCM.
6.                  Develop technical reports summarizing findings and recommendations.</t>
  </si>
  <si>
    <t>Transit Route Management by Demand</t>
  </si>
  <si>
    <t xml:space="preserve">http://rns.trb.org/dproject.asp?n=13872 </t>
  </si>
  <si>
    <t>The standard vehicle in bus transit operations is the heavy duty, 40-foot bus.  An entire operational, bureaucratic and grant structure has been built around this bus, to the point that the 40-foot bus defines the standard for all buses.  It is the 500,000-mile, 12-year vehicle against which all other transit vehicles are measured.  However, once a transit operator has a fleet of 40-foot buses, these must be used, whether empty or full, during peak or off-peak.  This leads to a wide variety of undesirable consequences, including the operation of buses that exceed weight standards on a persistent basis, reduced flexibility to adapt schedules and routes for varying demand over the service day, and so on.
It would be valuable to discover whether a more diverse fleet – able to carry the maximum load in the peak in 40 foot and larger buses but also providing a more broadly-based service throughout the day, including off-peak, in 30 foot and less buses built for long life – may be more cost-effective than a fixed-size fleet of 40 foot heavy duty vehicles.  Some of the benefits might include reduced fuel use (grater use of smaller vehicles), reduced exhaust emissions per vehicle, increased ridership with improved perceived comfort, greater mobility for the transit-dependent, and reduced wear and tear on the street network from over axle weight vehicles.  Some of the increased costs might include more vehicles, higher maintenance and garaging costs, larger vehicle maintenance staff, additional drivers and other operating costs.
The Rhode Island Public Transit Authority reorganized its routes in the late 1990’s for a particular purpose – to better serve a growing proportion of its ridership.  Along several of RIPTA’s routes, Seniors were making up as much as 40 percent of their ridership base.  These riders far preferred the cutaway vans and 30-foot buses, because these were quieter, more comfortable, easier to board and they were not separated from the driver.  RIPTA’s per vehicle occupancy increased significantly after instituting the smaller vehicles and making specific route and schedule changes.   
OBJECTIVE
This research will examine alternative vehicle assignment strategies and will consider route designs and service levels for two or three bus transit systems.  Actual routes and service frequencies will be varied by vehicle size to determine what effects this might have on overall fuel consumption, vehicle weight, and service levels.  The resulting product will be a computer model – based on Excel or Access – that transit agencies can use to reorganize their route structures to achieve particular goals such as fuel economy, more customer-responsive service, or lower cost per passenger-mile of service.</t>
  </si>
  <si>
    <t>Quantifying the Air Quality Impacts of Implementing Access Management</t>
  </si>
  <si>
    <t xml:space="preserve">http://rns.trb.org/dproject.asp?n=13726 </t>
  </si>
  <si>
    <t>I.       RESEARCH PROBLEM STATEMENT
There is a renewed interest nationally and internationally in vehicular emissions, particularly as it relates to the formation of greenhouse gases. To date, there has been no research specific to the air quality impacts of implementing access management treatments. Access management treatments separate speed differentials, remove turning traffic from through lanes, and restrict left turns to improve traffic flow and improve safety. Access management has been shown to be highly effective in terms of improving both traffic safety and traffic flow. Crash rate reductions as high as 50 percent are well-documented in before and after research where access management has been implemented. In addition, improvements in travel speed and traffic flow have also been documented. It is not uncommon for the peak hour mean travel speed of urban arterials to improve by 10 miles per hour after access management treatments have been implemented. While the improved traffic flow implies improved fuel economy and reduced emissions, it has not been quantified. It is well-known that motor vehicles traveling at a near constant speed of 35 to 50 miles per hour tend to produce considerably less pollutant emissions than those involved in "stop and go" traffic. So in theory, access managed roadway facilities should generate air quality improvements.
With rising energy costs and environmental consciousness, especially with regard to ozone and greenhouse gases, there are questions about the amount of air quality and fuel consumption benefits access management treatments provide. Maximum vehicle fuel efficiency and greenhouse gas emissions appear to take place at a speed of 35 to 55 miles per hour. Since access management tends to produce urban arterial roadways that operate at free flow speeds of 35 to 50 miles per hour, there could be demonstrable energy efficiency, air quality, and greenhouse gas emissions benefits from wider implementation of access management treatments.
State environmental agencies and the U.S. Environmental Protection Agency (USEPA) are constantly looking for ways to reduce emissions. In this work, researchers will develop relationships between various access management treatments (or variations thereof) and actual fuel consumption and emissions produced. Collected field data, in conjunction with a fuel consumption and emissions model, will be used to extrapolate the empirical data to develop a methodology to estimate corridor and areawide air quality impacts of access management treatments. This information can also be used for conformity determination. 
III.         RESEARCH OBJECTIVE
The research objective is to develop and test a methodology to estimate corridor and areawide air quality impacts as a function of access management implementation. 
To satisfy this objective, the following tasks are anticipated:
1.       Perform a literature review of air quality studies and applicable modeling activities;
2.       Develop an experimental design to collect field emissions data from corridors with different access management treatments (or variations thereof), different congestion levels (peak and off-peak), different driving types (hard acceleration/smooth acceleration), and different access density levels;
3.       Develop Interim Report on findings of Tasks 1 and 2, and allow one (1) month for panel review time;
4.       Finalize experimental design based on panel review and collect field data;
5.       Develop corridor and areawide models using the finding from the field data and microscopic emissions models;
6.       Document research results in final report and allow three (3) months for panel review; and
7.       Disseminate the information to the transportation community in the form of a written document and other press releases</t>
  </si>
  <si>
    <t>AFH40, Construction of Bridges and Structures</t>
  </si>
  <si>
    <t>Economics of Modern Timber Bridges in the United States</t>
  </si>
  <si>
    <t xml:space="preserve">http://rns.trb.org/dproject.asp?n=13045 </t>
  </si>
  <si>
    <t>I. Research Problem Statement
There is an abundance of misinformation regarding the economics of timber bridges in the United States, resulting in poor perceptions of timber bridges by decision makers. The economics should be based on initial cost, performance under traffic, maintenance, and life span. Claims for the best economy are made by various designs for timber bridges such as “T” beams, stressed decks, box beams, parallel chord truss with metal plated connections, “A” frame, and so on. The problem is that none can ascertain these claims. However, there are perceptions that many of these designs cannot complete with those with other materials, i.e., prestressed concrete, steel and reinforced concrete, even for short spans in rural regions. Facts regarding low initial cost, low maintenance, long life, satisfactory performance, ease of design and construction (for local economy) and so on, are difficult to obtain. Almost all designs claim theirs are the best! The question is then why cannot these complete with other types of bridges when contracts for construction are let. Most of the modern timber bridges built in recent years have been “demonstration” bridges that exclude bridges of other materials.
II. Research Objective
Research is needed to ascertain the economies of modern timber bridges, designed in accordance with AASHTO bridge specifications, to assist the decision makers in selected a bridge material. The economics should include: design costs, initial construction costs, projected maintenance costs, and life-cycle costs compared to those of the bridges of other materials. It is noted that determination for the life-cycle cost of any type of bridge will be one of the most difficult phases in this research.
The Forest Product Laboratory (FPL), USDA Forest Service, and many universities including West Virginia University, Bucknell University, University of Maine, and Iowa State University, and others, under the auspices of the National Timber Bridge Initiative Program and FPL, are conducting research on timber bridges.</t>
  </si>
  <si>
    <t>Design and Effects of Variable Bedding Thicknesses for Precast Concrete Pipe and Box Sections</t>
  </si>
  <si>
    <t xml:space="preserve">http://rns.trb.org/dproject.asp?n=13010 </t>
  </si>
  <si>
    <t>I. Research Problem Statement:
The thickness of bedding under buried pipes is often set at "standard" values, without regard to cost or engineering requirements. Most concerns, with regards to bedding, relate to the minimum thickness, firmness, and the aggregate size. In current specifications, the specified bedding thickness is often the same, regardless of the fill height. Designs are most often based on minimum bedding thickness, which usually relate to a worst-case scenario with regards to bedding effects. Some concerns have arisen regarding rigid structures and the appropriate bedding thickness when deep fills are encountered. These concerns are magnified in the case of a hard foundation.
II. Objective:
Determine the effect of variable bedding thicknesses on the design and performance of rigid precast concrete pipe and box sections under deep fills.
·        What effect does an increased bedding thickness have on the design of concrete pipe and box sections? 
·        Is the benefit derived from an increase in bedding thickness proportional to the depth of fill?
·        What thickness of bedding is required to mitigate the effect of a rough and/or hard trench bottom (e.g. blasted bedrock).
·        What is the relative performance of the different specified bedding materials?</t>
  </si>
  <si>
    <t>Simple Bridge Security Inspection</t>
  </si>
  <si>
    <t xml:space="preserve">http://rns.trb.org/dproject.asp?n=12756 </t>
  </si>
  <si>
    <t xml:space="preserve">Problem: Enhancing bridge security entails several steps: on site assessment, analysis of different security components and finally implementing some mitigation measures that will enhance bridge security. Without appropriate on site assessment, any security measures can be incomplete, inefficient, or worst, provides no additional measure of safety. The importance of on site assessment is due to the multidisciplinary nature of security; it depends on varying parameters such as structural, foundations, traffic patterns, site conditions, potential risk sources, and any other qualitative security issues that cant be easily documented in bridge design reports. Because of these varying multidisciplinary security concerns, one can conclude that on-site assessment is always needed for any security enhancement project.
There are many difficult issues that involve conducting a successful on-site assessment. The two most obvious difficulties are the same multi-disciplinary aspect of security, and the lack of conforming assessment baseline. Assessing the security of a bridge site will require the knowledge of people in several fields; this could prove to be a costly venue. The basic qualitative nature of on-site assessments can make it non-uniform from one site to another, based on the person(s) who are conducting the assessments.
It is proposed to establish a security checklist manual that has the potential of resolving the above difficulties of on-site security bridge assessments. Such a checklist should cover all pertinent bridge security issues with simple, but accurate questions. By answering these questions, a comprehensive picture of the security situation of the bridge will emerge. Since the questions are the same for all sites, any project prioritization for security enhancements on the bridge network will be done equitably. Since the checklist will cover all security issues in a multidisciplinary, yet simple, fashion, the assessment can be performed with minimal labor costs.
Objective: The purpose of the project is to establish a security checklist for bridges. The checklist document should include several chapters; each chapter dealing with a particular bridge security issue. Examples of chapters are site, structural, foundations, traffic patterns (pedestrian and/or vehicles), monitoring (sensors) and physical security (cameras, gates, etc.) issues. The chapters should include a set of comprehensive questions that would provide details of the on-ground security conditions, vulnerabilities and mitigation needs. A detailed commentary should accompany each of the questions to guide the assessor in case of any misunderstanding of the intent of the question. In addition to the questions, each chapter should include a set of pre-provided mitigation techniques, so the assessor would make on-site recommendations of the suitability of such techniques. In all, such a checklist would provide consistency, comprehensive and economy of on-site security assessment for the state officials to help making efficient security decisions. </t>
  </si>
  <si>
    <t>Development of National Service Level Criteria for the Interstate and National Highway System</t>
  </si>
  <si>
    <t xml:space="preserve">http://rns.trb.org/dproject.asp?n=12750 </t>
  </si>
  <si>
    <t>Problem: During the 20th Century, the United States installed a highway system that helped build an economy and a quality of life which is the envy of the world. The investment in this system has connected cities to suburbs, metropolitan areas to each other, factories to markets, and consumers to goods produced from all over the world. Americans are the most mobile people on earth, and trade will become an increasingly important component of the U.S. economy, increasing the demand for a safe reliable highway system. One of the major contributors to this success is the Interstate Highway System, which will celebrate its 50th birthday in 2006. Financing for the entire highway system is based on fuel taxes, most of which were also established 50 years ago. In order to continue providing an acceptable level of service to travelers, competition for these funds has increased dramatically while inflation and more fuel efficient vehicles have reduced the purchasing power of these funds compared to the number of vehicles using the Highway System.
Maintaining and upgrading the highway system is costly, and deferring the timely maintenance of the infrastructure results in proportionately greater rehabilitation costs at a later date, while contributing to congestion and accident rates. Lack of system preservation and rehabilitation produces a downward spiral, which is largely invisible to the traveling public. This deterioration eventually impacts the entire system by causing much needed funding to be diverted from new construction projects to repair prematurely aging components. Properly scheduled highway and bridge maintenance (or the lack if it), has a lasting impact on those critical issues affecting the nation.The development of National Service Level Criteria for the Interstate and National Highway System would place emphasis and assure allocation of limited resources to deal with these critical issues.
Some of the more important, and often overlooked, items covered within these critical issues are discussed in the next section of this research problem statement.
Objectives: The objectives of this research effort are to develop national service level criteria to address the following critical areas:
Safety:  visible signs and pavement markings; safe and secure rest area facilities; functional drainage features (culverts, inlets, rutted pavement lanes that pond water, ditches, under drains, etc.); freedom from blowing litter and debris.
Emergencies:  a well maintained highway and bridge system contributes to the speedy ability to respond to everyday as well as natural disasters
Energy:  smooth pavements, free from potholes and rough ride characteristics; proper signing; traffic control systems that allow continued movement; pavement markings that clearly delineate lanes in all weather conditions; all of these contribute to the free flow of traffic and reduction of energy consumption.
Institutions:  authority at all levels of highway agencies (federal, state and local) are being decentralized with a resultant lack of responsibility towards a national policy. Leadership towards the maintenance of highway infrastructure is vitally needed for critical features (safety, protecting the investment and maintaining the operating characteristics).
Finance:  priority funding for maintenance of existing highway critical features should become the method of operation for highway agencies before additional infrastructure is added. The purpose of the research being proposed should provide for a national strategy to be developed that will identify the maintenance condition of critical features of the Interstate Highway System within each state.
Congestion:  tens of millions of new inhabitants are projected over the next three to four decades. Booming trade from NAFTA portends a necessity to increase efficiency (possible increased legal loads beyond 80,000 lbs.) in conjunction with a large percentage increase in truck traffic volume. These increased traffic loads, will undoubtedly accelerate the deterioration of the Interstate and National Highway Systems unless adequate funding for infrastructure maintenance is provided.</t>
  </si>
  <si>
    <t>Guidelines for Design and Construction of Curved Prestressed Concrete Beams</t>
  </si>
  <si>
    <t xml:space="preserve">http://rns.trb.org/dproject.asp?n=12683 </t>
  </si>
  <si>
    <t>II.        Research Problem Statement
Curved steel girder bridges have received considerable NCHRP and FHWA research attention in the past 15 years. The research has resulted in LRFD Specification changes in 2004 and 2005 that unify the design of straight and curved beams. The concept of using curved concrete beams as an alternate to curved steel beams is unrecognized by most designers. Several projects in Florida, Pennsylvania, Colorado and most recently Nebraska have demonstrated the cost effectiveness of such an alternate. Often the beams are made to a chorded alignment, rather than a true curve, and are post-tensioned, rather than pretensioned. However, pretensioning of truly curved box beams is being done in the Netherlands on a regular basis. 
IV.       Research Objective
This project should focus on the most popular precast prestressed beam shape, the I-beam. Other shapes, such as U-beams and full boxes should also be considered. The goal of the study is to develop guidelines for fabrication, design and construction of curved concrete girder bridges. Plant precasting/pretensioning, rather than post-tensioning should be emphasized Side sway analysis, torsion design, and diaphragm requirements should be considered in the study.</t>
  </si>
  <si>
    <t>Development of Design Provisions for and Extending the Application of Simple for Dead and Continuous for Live Load Steel Bridge System</t>
  </si>
  <si>
    <t xml:space="preserve">http://rns.trb.org/dproject.asp?n=12678 </t>
  </si>
  <si>
    <t>I. Research Problem Statement
In recent years a new steel bridge system, referred to as Simple for Dead Load and Continuous for live load has gained popularity in several States. The new system is proved to be economical. Bridges using this new concept are now in service in Nebraska, Tennessee, New Mexico and few other States. The most common application of this concept has been to the case of I girder bridges, with each span length of approximately less than 130 ft.
In this system each individual girders, as a simple beam, are placed over the supports before casting the deck slab. Prior to hardening of slab deck each girder behaves as simple beam, with maximum moment being at the middle of the span. The detailing is such that bridge behaves as continuous for any loads applied after the concrete deck is hardened. This includes the live loads due to traffic and dead loads that are applied after concrete is hardened, such as weight of the barrier and overlays. The continuity for live and super imposed dead loads are provided by placing additional reinforcement in the slab over the pier, similar to what has been practiced in the case of the prestress concrete bridges for years. In the simple for dead, continuous for live load bridge system, need for bolted splices are eliminated, which significantly reduces the cost. Other economical advantages are gained by needing smaller crane sizes and significant reduction in construction time.
In the new system the girders are joined together, over the pier. Various details are used to connect the girders over the pier. At the present time there is no uniform approach to design this new system and States have adopted to use their own criteria, in many cases, without substantial experimental or field data. The economy of the system is bound to result in more use of the concept by States. As a result there is a need to evaluate this new system and develop information that is needed to result in its safe use, while enhancing its economy.
III. Research Objective
The objective of the project is to develop design provisions and information that will facilitate and extend the use of Simple for Dead and Continuous for Live Load Steel Bridge System. The specific objectives are as follows:
Literature review, summarizing the available information
Identifying and resolving design barriers for extending the use of new system
Field testing of selected bridges, already in service and using the new system
Development of analysis tools for design of new system
Development of generic design details for connecting the girders over the pier
Development of complete design provisions for economical design of new system with emphasis on extending the use of new system
The project outcome should result in uniform application of the new system by design profession and enhancing the overall economy of the system</t>
  </si>
  <si>
    <t>AFS30, Foundations of Bridges and Other Structures</t>
  </si>
  <si>
    <t>Performance of Laterally Loaded Drilled Shafts in Rock</t>
  </si>
  <si>
    <t xml:space="preserve">http://rns.trb.org/dproject.asp?n=12621 </t>
  </si>
  <si>
    <t xml:space="preserve">I.    Research Problem Statement
Drilled shaft foundations are widely used for bridge foundations where large axial and lateral loads are to be resisted.  Where rock bearing strata are present, individual drilled shafts are capable of supporting very large loads.  Lateral load capacity can be substantial because of their large diameter and superior moment resistance.  Drilled shafts are particularly well suited to conditions where scour, wind loads, vessel collision loads, or high seismic hazards are present.  Drilled shafts are often installed into rock so that the rock socket provides the lateral and overturning resistance needed to support large lateral loadings.  
Engineers confronted with the problem of designing drilled shafts for lateral loading most often use a computer solution which models the soil as a series of nonlinear springs, i.e., p-y curves.  This approach is well suited to the problem of laterally loaded drilled shafts and is a relatively mature technology.  Computer programs are available which are robust and numerically efficient, and can model the nonlinearity in the response of the soil and the nonlinearity in the flexural response of the reinforced concrete.
The difficulty for drilled shafts in rock lies with the ability to characterize the rock for this purpose, and incorporate a p-y model for rock into the design which is considered reliable and accurate.  The p-y models used in design should be based on empirical correlations developed from realistic, full scale load tests.  For drilled shafts in rock, the test data used to develop the most widely used correlations are extremely limited and may not be reliable for a majority of projects in the U.S.
A recent NCHRP synthesis report (20-5) Use of Rock-Socketed Drilled Shafts for Highway Structure Foundations (currently in final draft form) included an extensive survey of practice from transportation agencies and noted the following:
1)    existing published criteria for p-y curves in rock are based on a very limited number (two) of full-scale field load tests;
2)    recommendations for selecting values of input parameters required by the published criteria are vague and unsubstantiated by broad experience,
3)    the p-y method of analysis is being used extensively despite these sources of uncertainty.
It is therefore concluded that research is needed and should be undertaken with the objective of developing improved criteria for p-y curves in rock.  The research should include full-scale field load tests on instrumented shafts, much in the same way that earlier studies focused on the same purpose for deep foundations in soil.
Where the design of a drilled shaft is governed by lateral loading, it is often the case that engineers (understandably) are extremely conservative in estimating the lateral capacity of the rock socket.  As a result, contractors may be forced to drill into extremely hard rock to unnecessarily great depths, resulting in increased costs and potential delays and claims associated with difficult rock drilling conditions.  
Another consideration is the move toward reliability-based design in the AASHTO LRFD Bridge Design Specifications.  Although some work has been done toward calibration of axial design methods, there has been no research in development of a reliability based approach toward lateral loading for drilled shafts in rock.
Some structural issues affect drilled shafts in rock.  Because of the high rate of load transfer and the large moment gradient with respect to depth, computed shear values near the top of a rock socket can be very high.  Codes may require additional shear reinforcing for such instances.  Given that the concrete in such a case is confined within the rock socket, the additional transverse reinforcement for this computed shear may be unnecessary and can be a construction problem during concrete placement.  The confinement provided by a rock socket likely has an effect on the bending strength as well, if the bond at the shaft/rock interface engages a portion of the rock during flexure.
The key for improving the economy and reliability of drilled foundations in rock is to develop models which:
IV.    are based on realistic test data from carefully performed and well instrumented large scale load tests,
V.    incorporate the nonlinear effects of flexure in a reinforced concrete drilled shaft,
VI.    address a wide range of rock types and conditions that might be encountered across the U.S.,
VII.    use correlations to measurable properties that can be obtained from routine site investigations in rock.  
There are some test data available from site-specific load tests on bridge projects around the country.  Many of these tests may have limited instrumentation or geotechnical data, or may not have included loads to a sufficiently large magnitude to actually mobilize significant lateral resistance from the rock.  Some tests have been performed using the lateral O-cell or lateral Statnamic devices.  In order to improve practice and also advance the state of practice toward reliability-based design, it is important that test data from a large number of load tests across a wide range of conditions should be examined and evaluated.
II.    Research Objective
The overall objective of the proposed research is to develop improved models for analysis and design of laterally loaded drilled shafts in rock.  The models should be readily implemented in practice, should cover a wide range of rock conditions, and should be demonstrated to be reliable and effective through comparisons with full scale load tests.  In order to accomplish this overall objective, several specific tasks are necessary.
Task 1.  Assemble and Evaluate Available Load Test Data.  This task includes assembly of a comprehensive data set of useful lateral load tests of drilled shafts in rock.  The criteria for selection should include:
    load test data must be sufficiently well instrumented that at least the deflected shape of the shaft can be defined,
    the nonlinear behavior of the shaft (including casing, if used) must be evaluated so that the response of the rock is not obscured by uncertainties in the shaft behavior,
    the mobilization of significant lateral resistance in the rock; if overburden soils are present, this condition must not obscure or make uncertain, the actual load supported by the rock,
    test sites that have sufficient site investigation at the immediate test location and that the test results can be correlated with quantifiable rock properties.
While it is not considered feasible to directly derive p-y curves from load tests on reinforced concrete shafts in the same way that is possible with linear elastic steel piles, the evaluation of available load test data should include a comparison of the test results with some form of nonlinear load transfer between shaft and rock.
Task 2.  Identify Gaps in Data and Models and Develop a Plan for Additional Load Testing.  It is anticipated that the available data will include significant gaps between the data needed to accomplish the research objective and the load test data identified and assembled in Task 1.  The research team should also perform an evaluation of State Agencies perceptions of the most common types of problems and rock types encountered, and should perform sensitivity studies to evaluate the importance of various parameters.  An assessment of the state of knowledge relating to structural design issues should be performed in order to address the effect of confinement within the rock socket on the structural behavior.
Task 3.  Develop or Refine Design Methodology.  Based on the results of Tasks 1 and 2, improved design methodologies should be developed and proposed.
Task 4.  Perform Additional Load Tests.  This task includes development of a plan to address shortcomings in the experimental data identified in Task 2, and needed research to address structural issues.  It is anticipated that the research team would develop a cost-effective approach to additional testing.  Field testing would be performed by using the most feasible and economical combination of either separately contracted load tests or tests performed in coordination with state agencies or industrial partners in conjunction with ongoing projects. A sufficient number of load tests should be performed to develop modeling criteria that is currently lacking for typical rock conditions.
Task 5.  Finalize Design Methodology.  The additional test data should be used to validate and/or refine the proposed design methodology and provide specific recommendations that meet the project objectives.
Task 6.  Final Report.  The results of the research shall be incorporated into a final project report, which shall include recommendations for implementation of the research findings into practice.
</t>
  </si>
  <si>
    <t>Modern Streetcars and Economic Development: The Rest of the Story</t>
  </si>
  <si>
    <t xml:space="preserve">http://rns.trb.org/dproject.asp?n=28629 </t>
  </si>
  <si>
    <t>At least 80 US cities are reported to be advancing streetcar projects as a means to provide circulation and generate development within downtowns and activity centers.  Many are attracted to the streetcar concept by having visited or read about the development that accompanied the recent implementation of streetcars in Portland’s Pearl District, Seattle’s South Lake Union area, and Tacoma.  To emulate these experiences in other places, streetcar sponsors need to understand the full range contributing factors that led to the development that has occurred along these streetcar lines.  This synthesis would document the “rest of the story” – the market conditions, policy actions, financial incentives, other public investments, etc., that collectively (in addition to the building a streetcar) contributed to development adjacent to the streetcars.  
A better understanding of the factors contributing to development near recent streetcar projects would help sponsors of new projects put in place the necessary supporting policies and strategies to leverage the development potential of their projects.  Further, as the Federal Transit Administration (FTA) starts to give greater emphasis to economic development in its rating of New Starts and Small Starts, a fuller understanding of the development process would help streetcar sponsors compete more successfully for these limited funds, while enhancing their ability to secure local and private matching funds.
The synthesis might include the following steps that could be completed for 400 hours of professional time:
·         Collect existing research and reports on economic development that has occurred in conjunction with streetcar projects implemented in the past 15 years
·         Based on literature review, develop a comprehensive list of market and public policy factors that contributed to the development near each project.
·         Conduct a limited number of telephone interviews with project sponsors, researchers, and public and private participants in the development process.
·         Identify recommendations for further research.
·         Prepare synthesis report.</t>
  </si>
  <si>
    <t>Transit system capital efficiency is often criticized due to low ridership and high capital costs, combining to limit competitive economic application of this transportation mode.  The relatively low volume of transit vehicles and infrastructure compared to highway solutions limits competition and economies of scale resulting in high capital costs. The necessity of a mode change to reach larger client volumes in low to medium population density areas increases travel times and reduces the attractiveness of the alternative.  Additionally the lack of multi-mode use of the given infrastructure investment raises public transport fares and/or subsidy burden.
A potential solution exists in the form of networked electric transportation where light weight vehicles can enter and exit a guideway infrastructure to achieve first and last mile travel segments in the same vehicle used for guideway travel.  The same guideway is used for small public transit and freight vehicles that are captive to the guideway and use off-line loading and unloading facilities.  While on the guideway, electric power is fed to the vehicles in real time as they move, thus eliminating the on-board energy storage challenge that has limited electric vehicle range and application.  This solution leverages the trend toward the electrification of the vehicle platform, and it opens the transportation energy market to any fuel that can generate electricity thus creating competition and improving energy security while reducing noise and air emissions.  Automation of guideway travel increases throughput capacity and improves safety while still offering the vehicle occupants stress-free reliable travel times where attention to the driving task is not required.
The objective is to develop a high-level technology roadmap and analyze the impact of a shared electric-powered transportation network architecture evaluating at a minimum the emissions, energy, congestion, safety, emergency response, and economic development aspects. Research tasks should include a literature review, development of a high-level technology roadmap, a robust cost/benefits analysis of the shared electric-powered transportation network alternative, and completion of a final report. The research and funding period are: $500,000 for 24 months.
The urgency and potential payoff follow. A perfect storm is building with the collision of energy security, climate change, infrastructure aging, homeland security, and economic growth concerns.  Policy directions and decisions will be made over the next two years that will affect the nation’s health, and this option needs to be among the alternatives considered.  The current transportation architecture is estimated to be wasting over $1.5 billion per day compared to the proposed alternative.  Thoroughly vetting this alternative, so that it can be compared with other solutions is of great value to the nation and could be key to making transit solutions more economic.</t>
  </si>
  <si>
    <t>Improving Transit Efficiency through Evolution to a Shared Electric-Powered Transportation Network</t>
  </si>
  <si>
    <t xml:space="preserve">http://rns.trb.org/dproject.asp?n=19044 </t>
  </si>
  <si>
    <t>Land Use, Transportation, and other Issues Associated with Major Intermodal Cargo Hubs in Metropolitan Areas</t>
  </si>
  <si>
    <t xml:space="preserve">http://rns.trb.org/dproject.asp?n=15884 </t>
  </si>
  <si>
    <t xml:space="preserve">I. Research Problem Statement
Major intermodal cargo hubs often are located in or near the historic core of older metropolitan areas. Many cargo hubs were built before the widespread usage of motor vehicles. Cargo hubs, residences, and commercial areas tended to locate relatively near one another in part because transportation choices were limited, slow-moving, and expensive. Numerous business and residences moved away from the cargo hub as technology improved, core land values increased, and transportation options became cheaper. On the other hand, many businesses remained in or near the cargo hub due to advantages associated with clustering, the need to be near specialized transportation facilities such as waterways, and other reasons that varied among businesses.
As cargo hubs grew, their demand for space increased while the availability of appropriately zoned land diminished. In some cases, nearby land could be rezoned to industrial, or existing cargo hub property could be re-developed to accommodate growth. In other areas, options were limited for rezoning or redevelopment, forcing green field development for manufacturing and distribution facilities that continued to serve and rely on the cargo hubs in the urban core. In some areas, neighboring property owners objected to expansion of the cargo hub. And in yet other areas, owners of non-industrial property sought to force cargo hub uses away from their traditional core, or to re-zone vacant or abandoned property in the cargo hub to non-industrial uses. These trends continue today.
In many parts of the United States, lower costs of land and greater availability of developable land at the urban edge or elsewhere in the metropolitan area puts pressure on the transport system to off-set travel time and distance between these areas and cargo hubs. In some locations, the demand for vacant or underused land contributes to pressures to rezone cargo hub properties from industrial to residential, commercial, and other uses. Further research is needed to address how to structure the transportation system to provide effective links between international and domestic cargo hubs, distribution centers, and manufacturing plants as congestion grows across the nation’s metropolitan areas.
The proposed research is a next step to build upon and advance previous and related work including the following: 
    NCHRP Report 497, Financing and Improving Land Access to U.S. Intermodal Cargo Hubs, 2003
    NCHRP Synthesis Report 320, Integrating Freight Facilities and Operations with Community Goals, 2003
    NCHRP 8-36, Task 30, Intermodal Freight Connectors: Strategies for Improvement, August 2003
    NCHRP 8-36, Task 33, Best Practices in Statewide Freight Planning, October 2003
    NCHRP Project 8-47, Guidebook for Freight Policy, Planning, and Programming in Small and Mid-Sized Metropolitan Areas,
    NCHRP Project 8-53, FY 2005, Integrating Freight into Transportation Planning and Project-Selection Processes. 
II. Research Objectives
    Review the academic and non-academic literature on transportation, land use, zoning, economic, and environmental issues associated with major cargo hubs.
    Summarize zoning, political, and other conflicts associated with land uses in and near major cargo hubs.
    Develop case examples illustrating the zoning, political, and other conflicts associated with land uses in and near major cargo hubs.
    Review site selection criteria and decisions of recently developed (e.g., last 8 years) manufacturing and distribution industries.
    Identify best practices, strategies, or guidelines that have been or could be used to 
                                                               i.      reduce, avoid, and/or resolve zoning, political, and other conflicts associated with land uses in and near major cargo hubs, and
                                                             ii.      ensure efficient freight movement to and among manufacturing, distribution facilities, and cargo hubs.
    Make research and other recommendations to address ongoing and future issues associated with land use, zoning, transportation, economic, and environmental issues associated with major cargo hubs in metropolitan areas.   </t>
  </si>
  <si>
    <t>Successful Strategic Planning Practices</t>
  </si>
  <si>
    <t xml:space="preserve">http://rns.trb.org/dproject.asp?n=14220 </t>
  </si>
  <si>
    <t>PROBLEM: Most transportation agencies have strategic plans in place. Some use these plans as their overarching guideline for business operations while some do not use them at all. What are the factors that make the strategic planning effort worthwhile? How can transportation agencies better use their strategic planning process and product to improve business operations and deliver better services to their customers?
OBJECTIVE:  Determine the key components of strategic plans. Identify transportation agencies where strategic plans have made a significant positive impact on business operations. Look specifically for cases where funding was increased due to strategic planning. Select key three priority business areas (i.e., safety, preservation, economic development, environmental protection, land use, etc.) and determine strategies that have helped agencies achieve strategic goals and objectives. In implementing strategic plans, what were successful ways to get agency staff engaged in the implementation and use of strategic plan? This research project will produce a set of how to’s based on real case experiences with strategic planning.</t>
  </si>
  <si>
    <t>Data for Evaluating Economic Development Consequences of Transportation Investments</t>
  </si>
  <si>
    <t xml:space="preserve">http://rns.trb.org/dproject.asp?n=14146 </t>
  </si>
  <si>
    <t>Efforts to evaluate the economic development consequences of transportation investments frequently come up against a glaring gap -- the lack of information on the flows of goods and people. This is most common in urban studies, though data on region-wide freight movements is also commonly deficient. New research is needed to develop ways of using existing resources to improve the quality and availability of data needed to demonstrate the economic consequences of transportation investments in a way that enhances public understanding and steers clear of black box models.
Illustrating this problem is the fact that most analyses of the relation between transportation investment and economic productivity do not take into account the intensity of use of transportation systems. Productivity studies, particularly those using production and cost function frameworks, typically treat all transportation systems as if traffic flows are the same. This simplified assumption potentially leads to biases in the estimates of the productivity of transportation infrastructure. Moreover, this approach ignores the very activity—shipment of goods—that generates the productivity gains.
Another deficiency in data collection is the lack of information that links the location of businesses and households to the location of the transportation systems that provide them with services. Most productivity studies are conducted using data that are aggregated by some level of government jurisdiction. Studies performed at the state or national level fall far short of establishing a spatial link. It is likely that state-level analyses could attribute the efficiency gains experienced by a business in one part of the state to an Interstate highway located in another part of the state. The problem is even more acute for national-level studies. Furthermore, estimates from state-level analyses do not address the questions that policy makers or planners have to consider concerning the location and type of future projects.
Among regional and corridor studies, the links between highway benefits and patterns of use are typically developed, but the net productivity effect is often not measured. Such studies tend to pay more attention to gross levels of job and income attraction than to the measurement of net productivity effects.
One important direction in coming years is to explore better ways to generate and collect the data necessary to conduct useful studies. Because important effects go beyond the outcomes of the transportation system itself, many types of data are needed. These data include not only transportation system characteristics, but also firm-level characteristics, transportation financing information, commodity flows, and accompanying characteristics of the regions included in the economic analysis. Furthermore, the data should be both cross section and time series to improve the reliability of the estimates.</t>
  </si>
  <si>
    <t>Economic Impact of Transportation on People and Communities</t>
  </si>
  <si>
    <t xml:space="preserve">http://rns.trb.org/dproject.asp?n=14036 </t>
  </si>
  <si>
    <t>Brief background of issue and its importance: ï¿½Other major federal, state and local government programs from housing to education of economic development, there are methodologies and available information about effect of public spending on specific groups. While different industries may use different types of segmentation (home ownership for housing, college attendance for education or auto availability for transportation) generally all government programs assess program impacts based on race and ethnicity and poverty or income.
In transportation, there are general cumulative assessments of economic impact. However, there is limited research and approaches for assessing economic impacts on specific population
Exact nature of the question(s) to be addressed
This research will identify the range of cumulative and indirect economic impacts of transportation on different population segments. Segmentation may include race and ethnicity, gender, income levels, auto availability, household location and employment location. The research may look cumulative effects on household location, employment and cost of transportation as well as indirect effects on the cost of goods and services.
Ideas about potential methodology
The research would need to look at economic and household micro-data that allows for segmentation by race, ethnicity and income and assessment over different points in time.
Policy or planning relevance
Information from this research would provide valuable information to decision-makers and disclosure of impacts to the public comparable to information available in other areas of government funding.</t>
  </si>
  <si>
    <t>Analysis of Property Value Impacts of Transportation Projects</t>
  </si>
  <si>
    <t xml:space="preserve">http://rns.trb.org/dproject.asp?n=13543 </t>
  </si>
  <si>
    <t>Research Need: Highway and rail projects inevitably affect property values. Increased accessibility will increase the number of customers that can reach commercial area and increase property values. On the other hand, nuisance effects (noise, congestion, pollution, etc.) may decrease property values. Analysis of such impacts is a component of social and economic impact analysis as required by NEPA. Without a clear synthesis and rigorous evaluation, it is difficult to predict the impacts of various types of transportation facilities on property values.
Research Objectives: Existing case studies and statistics that categorize property value impacts of transportation projects by mode and type of facility (various cross-sections, greenways) and/or surrounding land use (residential vs. commercial, typical suburban vs. neotraditional, etc.). Collect best practice methods for evaluating property value impacts of transportation projects. The product of the research would be a manual for public involvement officers and right-of-way officials, to share with property and business owners. The purposes of the manual would be to increase awareness about the effects of transportation-related projects; to help make coordinated landuse/economic development decisions with local leaders and planning commissions and to provide citizens with information about how transportation decisions affect their life and their community.</t>
  </si>
  <si>
    <t>Economic value of TDM impacts to community development; role of TDM in community vitality and regeneration</t>
  </si>
  <si>
    <t xml:space="preserve">http://rns.trb.org/dproject.asp?n=13470 </t>
  </si>
  <si>
    <t xml:space="preserve">Description of Need and Research Objectives:
Travel Demand Management (TDM) strategies are most often implemented to mitigate traffic congestion or contribute to improved air quality.  Some communities, however, are exploring TDM strategies as possible tools to enhance the economic vitality of a community or region and support or encourage a vibrant and healthy level of development.  In what ways and to what extent can TDM strategies meet these objectives?  What TDM strategies provide the greatest economic development benefits?  Can TDM strategies contribute to regeneration of economically stagnant communities?  For what development concepts, situations, or scenarios are TDM strategies most appropriate?  </t>
  </si>
  <si>
    <t>Automated Vehicle Guidance for Mobility Services</t>
  </si>
  <si>
    <t xml:space="preserve">http://rns.trb.org/dproject.asp?n=13421 </t>
  </si>
  <si>
    <t>Problem: The potential mobility improvements, including traffic flow improvements, offered by automated vehicle guidance on freeways have been recognized. However, the potential mobility improvements for arterial roads, congested surface streets, parking facilities, and for trucks and transit buses, are not yet understood. For all applications, the range of consequences from the economic, social, land use, and environmental perspectives have not been established with respect to effects at the urban area or regional level. As a consequence, the benefits and costs of automated vehicle guidance services are not apparent to state and local governments, to the freight movement and transit interests, or to the general public.
Objective: Develop promising concepts for automated vehicle guidance services and identify the possible benefits and costs of these candidate concepts. Express the benefits and costs in economic, social, environmental, and land use terms and outline a plan for deployment.</t>
  </si>
  <si>
    <t>Records that meet sustainability categories</t>
  </si>
  <si>
    <t>One</t>
  </si>
  <si>
    <t>Two</t>
  </si>
  <si>
    <t>Three</t>
  </si>
  <si>
    <t>Score for records addressing all three categories</t>
  </si>
  <si>
    <t>Total records = 325</t>
  </si>
  <si>
    <t>Score</t>
  </si>
  <si>
    <t>Records</t>
  </si>
  <si>
    <t xml:space="preserve">http://rns.trb.org/dproject.asp?n=25848 </t>
  </si>
  <si>
    <t>What is meant by sustainability?</t>
  </si>
  <si>
    <t>Dimension</t>
  </si>
  <si>
    <t>Health and Environmental Damage</t>
  </si>
  <si>
    <t>is powered by renewable energy sources; and</t>
  </si>
  <si>
    <t>Equity/Society</t>
  </si>
  <si>
    <t>provides meaningful and well-paid employment opportunities.</t>
  </si>
  <si>
    <t>A sustainable transportation system…</t>
  </si>
  <si>
    <t>operates safely; ensures the secure movement of people and goods</t>
  </si>
  <si>
    <t>promotes equity between generations.</t>
  </si>
  <si>
    <t xml:space="preserve">provides access to goods, resources, and services while reducing the need to travel; </t>
  </si>
  <si>
    <t xml:space="preserve">reuses and recycles its components. </t>
  </si>
  <si>
    <t xml:space="preserve">ensures that non-renewable resources are used at or below the rate of development of renewable substitutes; </t>
  </si>
  <si>
    <t>limits emissions and waste to levels within the planet’s ability to absorb them, and does not aggravate adverse global phenomena including climate change, stratospheric ozone depletion, and the spread of persistent organic pollutants;</t>
  </si>
  <si>
    <t>ensures that renewable resources are managed and used in ways that do not diminish the capacity of ecological systems to continue providing these resources;</t>
  </si>
  <si>
    <t xml:space="preserve">minimizes the use of land; </t>
  </si>
  <si>
    <t xml:space="preserve">minimizes activities that cause serious public health concerns and damage to the environment; </t>
  </si>
  <si>
    <t xml:space="preserve">maintains high environmental quality and human health standards throughout urban and rural areas; </t>
  </si>
  <si>
    <t xml:space="preserve">minimizes the production of noise; </t>
  </si>
  <si>
    <t xml:space="preserve">is affordable; </t>
  </si>
  <si>
    <t>operates efficiently to support a competitive economy; and</t>
  </si>
  <si>
    <t xml:space="preserve">ensures that users pay the full social and environmental costs for their transportation decisions. </t>
  </si>
  <si>
    <t>promotes equity between societies and groups within the current generation, specifically in relation to concerns for environmental justice; and</t>
  </si>
  <si>
    <t>Search terms:</t>
  </si>
  <si>
    <t>How records were scored:</t>
  </si>
  <si>
    <t>Table 1: Comprehensive Definition of Sustainable Transportation</t>
  </si>
  <si>
    <t xml:space="preserve">http://rns.trb.org/dproject.asp?n=25202 </t>
  </si>
  <si>
    <t xml:space="preserve">While definitions of sustainability and sustainable development vary considerably, most comprehensive definitions of sustainable development consider impacts in the three areas of environment, economy, and society (equity), sometimes referred to as the "three Es". Within these three broad areas, different topics in sustainability were identified (see Table 1), and for each record, the areas of sustainability which it addressed were noted (up to three). Records were then given a "Sustainability Score" based on how well the proposed project addresses one or more of the three Es. </t>
  </si>
  <si>
    <t>Although there are theoretically many terms that could fall under one of the three dimensions of sustainability, for the purposes of this research effort, terms were chosen that were expected to garner as many records as possible while still remaining relevant to sustainability. The terms used in the searches for this study were: economic development, economy, environment, equity, society, sustainability, and sustainable. Where multiple search terms pulled up the same record, this is noted in subsequent "Search Term" fields in the "Records" tab. Obviously, there are more terms that could be used for additional searches, including conservation, preservation, energy, safety, and others.</t>
  </si>
  <si>
    <t>Scoring the RNS records in terms of whether they address issues of sustainability and in what ways was largely a subjective exercise. Using the Table 1 information, the evaluator determined which, if any, of the listed sustainability topics was clearly addressed in the RNS record. The record was given up to a full point in each of the three categories (Environment, Economy and Equity); half points were given where some aspect of that sustainability dimension was addressed. For example, a record that only discussed safety issues would score 0.5 for its "Equity" score, whereas a record that addressed multiple societal aspects, such as safety and access, or safety and access and intragenerational equity, was recognized as addressing equity/society in a more comprehensive way, and so was given a full point. All records received a score between 0 and 3 (up to 1 point in each category). It should also be noted that in some cases, a record's research focus may have the potential to impact sustainability beyond the category/categories indicated, but this was not explicitly discussed in the problem description, research objective or other piece of the proposal. For example, the record entitled "Modern Streetcars and Economic Development: The Rest of the Story" specifically discussed streetcar research that focuses solely on economic impact, even though streetcar promotion might also have environmental or even social impacts. For this reason, its total score was 0.5 (awarded in the "Economy" category).</t>
  </si>
  <si>
    <t>Sustainability categories addressed by RNS Records</t>
  </si>
  <si>
    <t>Record</t>
  </si>
  <si>
    <t>Number of records that scored…</t>
  </si>
  <si>
    <t>No. of Records Found</t>
  </si>
  <si>
    <t>Sustainability Area</t>
  </si>
  <si>
    <t>Total Score</t>
  </si>
  <si>
    <t>Total:</t>
  </si>
  <si>
    <t/>
  </si>
  <si>
    <t>Recycling</t>
  </si>
  <si>
    <t>Committee</t>
  </si>
  <si>
    <t>Record Title</t>
  </si>
  <si>
    <t>0 points</t>
  </si>
  <si>
    <t>0.5 points</t>
  </si>
  <si>
    <t>1 point</t>
  </si>
  <si>
    <t>1.5 points</t>
  </si>
  <si>
    <t>2 points</t>
  </si>
  <si>
    <t>2.5 points</t>
  </si>
  <si>
    <t>3 points</t>
  </si>
  <si>
    <t>Envi.</t>
  </si>
  <si>
    <t>Econ.</t>
  </si>
  <si>
    <t>Eq.</t>
  </si>
  <si>
    <t>-</t>
  </si>
  <si>
    <t>Area</t>
  </si>
  <si>
    <t>Research problem statement
Transportation agencies are facing an increasing need to include public health concerns in their transportation decision-making and planning.   This need manifests itself in several areas of the National Environmental Policy Act process, MPO and State DOT long range plans and at the project design level. Yet, the various health analyses are generally not required of transportation agencies and in most cases the needed tools and data are not readily accessible or known to the transportation agencies.  The reasons for this vary; but suffice it to say that the need to consider public health in transportation plans and programs is on the rise nationally.
relationships to the existing body of knowledge
Safety is a good example of an area where people have been aligning health and transportation data. For example, research groups such as SafeTREC at UC Berkeley have created GIS-based crash databases that include layers of health data (e.g., areas where a high proportion of students are eligible for reduced-price school lunch), with safe routes to school data and crash information.  Another safety data source, Crash Outcome Data Evaluation System (CODES), goes a step further and links police-reported crash data with injury data from hospital records.
One of the primary limitations of using health data for transportation decision-making is that health data are often aggregated to a geographic scale that is too large for analyzing the effects of specific transportation interventions.  A further limitation is the level of confidentiality required for health data. These data constraints can limit detailed and fine-grained analysis for transportation plans and programs. Yet there are examples where groups are using neighborhood- and county-level data to understand health and transportation.  Cities such as Madison, WI have GIS-based systems of neighborhood-level sustainability indicators that include health and transportation data.  The County Health Rankings combine health outcomes (morbidity and mortality) with behavioral, social, and built-environment factors for nearly all counties in the US, and it includes measures of the food environment, physical activity, and traffic-related injury.
These examples highlight the potential to combine health and transportation data in a practical way, as well was strategies that work for communicating data and information.  Relevant data must be collected, but they must also be optimized for sharing across organizations and policy sectors.  Thus, the proposed project seeks to develop practices for sharing data among interdisciplinary groups.
research objective
The purpose of this research is to make health data and metrics more accessible and useful for transportation specialists, elected officials, and others who want to know the health effects of transportation projects. This proposed project would provide a “database of data” to facilitate answering this question at geographic scales relevant to transportation.  Two secondary aims are to provide a roadmap for improving data quality at the intersection of health and transportation, and a strategy for data sharing across policy sectors.
Instead of putting new mandates on organizations to collect more data, this project will identify the data that both transportation and public health have that mutually aid the other.
As health is increasingly at the center of national and local policy debates it is critical for transportation agencies to have data and metrics to show how transportation projects and policies affect health outcomes.  These health outcomes need to include general measures of health such as morbidity and mortality, as well as specific diseases (e.g., respiratory disease, cancer) and populations (e.g., maternal and child health, older travelers, rural populations).
Anticipated tasks include:
Task 1: Review of Existing Resources: Using a detailed review of cases where public health and transportation policy communities have come together to accomplish project design, prioritization, or implementation, this task collects information on data sources (i.e., metadata), metrics, and practices used.
Task 2: Roadmap for Improving Data Quality: Using the review in Task 1, as well as interviews with knowledge-rich practitioners, this task identifies and prioritizes important gaps in data, and data quality issues from the implementation perspective. Particular attention should be given to how the geographic and confidentiality challenges noted above can be overcome.
Task 3: Develop a Data Sharing Strategy: Using reviews of practice, interviews with professionals in transportation and public health, and expertise in communications and systems design, this task creates a strategy for sharing data across the public health and transportation policy sectors. This task will serve to identify and promote effective approaches to creating and sustaining the interdisciplinary connections needed for integrating health into transportation decision making.
These three tasks are an example of how such a project could be structured.  Taken together, these tasks would result in practice-ready deliverables.  Such deliverables may include a website that provides access to available data sources and their metadata, a library of data documentation and examples of research and projects they have supported, contact information for experts in the data sources, webinars and other opportunities for communicating the findings, as well as actionable recommendations for improving data quality.</t>
  </si>
  <si>
    <t>Analysis of TRB’s Research Needs Statements (RNS) Database for Records Related to Sustainability</t>
  </si>
  <si>
    <t>The purpose of this analysis was to determine the extent to which the topic of sustainable transportation is addressed in the proposed research projects listed in the TRB Research Needs Statements (RNS) database (http://rns.trb.org/).</t>
  </si>
  <si>
    <t xml:space="preserve">Problem: Federal and State Departments of Transportation (DOT) are searching for a tool to quantify the environmental social and economic impacts of their operations.  This tool should have the ability to quantify the energy and resource consumption, as well as emission and waste generation resulting from design and construction of transportation projects.  It will also be able to integrate the life costing principals in its protocols and measure added social benefits in terms of user time, health and safety and comfort driving conditions.  Hence this tool will enhance the sustainability of the transportation sector.  To create such a tool, a methodology is needed that can evaluate the ecological footprint of the industry, assist in selecting sustainable materials, products and processes for use in construction, identify data gaps in current transportation processes, and guide the development of new processes or activities towards a net reduction of resource requirements and emissions in an economically &amp; socially conciseness protocol.  Objective: The proposed research aims to conceive, develop, test and refine a multi-dimensional life-cycle assessment tool that integrates hybrid life cycle assessment principals with life cycle costing principals to assess the environmental, social and economic performances of transportation applications in order to achieve sustainability.  The main research objectives are to: (a) develop a robust life-cycle assessment tool to determine the environmental, social, and economic impacts of transportation products and processes; (c) Base the developed tool on a methodology that can assess issues specifically related to transportation applications including but not limited to heat island mitigation, energy, waste and emission reduction, sustainable landscapes and sustaining ecosystems; and (d) simulate the dynamic of exploring innovative and evolutionary technologies to direct research and development efforts towards enhancing the sustainability of transportation materials, products and projects.  </t>
  </si>
  <si>
    <t>Problem: Nanomaterials have been successfully used to improve the durability and sustainability of transportation applications by introducing technologies such as low-energy cements, photocatalytic coatings, and self healing additives.  However, lack of consideration of the net environmental benefits may yield to offsetting impacts and an overall inferior product.  Many studies are being carried out to quantify the environmental impact of nanomaterials; however, none of them focuses on transportation applications.  Objective: The proposed research has as its overall goal the initiation of studies in which life cycle inventory (LCI) are compiled for carrying out evaluations of the environmental footprints of nano-manufacturing technologies used in the transportation industry. These LCI’s will be used as a library for life cycle assessment studies to quantify the sustainability of integrating different nano products in the transportation industry</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</si>
</sst>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
  </numFmts>
  <fonts count="21" x14ac:knownFonts="1">
    <font>
      <sz val="11"/>
      <color theme="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
      <sz val="11"/>
      <color rgb="FF000000"/>
      <name val="Calibri"/>
      <family val="2"/>
      <scheme val="minor"/>
    </font>
    <font>
      <b/>
      <i/>
      <sz val="11"/>
      <color theme="1"/>
      <name val="Calibri"/>
      <family val="2"/>
      <scheme val="minor"/>
    </font>
    <font>
      <i/>
      <sz val="11"/>
      <color rgb="FFFF0000"/>
      <name val="Calibri"/>
      <family val="2"/>
      <scheme val="minor"/>
    </font>
    <font>
      <sz val="11"/>
      <name val="Calibri"/>
      <family val="2"/>
      <scheme val="minor"/>
    </font>
    <font>
      <sz val="10"/>
      <color theme="1"/>
      <name val="Arial Unicode MS"/>
      <family val="2"/>
    </font>
    <font>
      <sz val="10"/>
      <color theme="1"/>
      <name val="Times New Roman"/>
      <family val="1"/>
    </font>
    <font>
      <b/>
      <sz val="12"/>
      <color theme="1"/>
      <name val="Calibri"/>
      <family val="2"/>
      <scheme val="minor"/>
    </font>
    <font>
      <b/>
      <u/>
      <sz val="11"/>
      <color theme="1"/>
      <name val="Calibri"/>
      <family val="2"/>
      <scheme val="minor"/>
    </font>
    <font>
      <sz val="10"/>
      <name val="Arial"/>
      <family val="2"/>
    </font>
    <font>
      <b/>
      <sz val="9"/>
      <color indexed="8"/>
      <name val="Arial Bold"/>
    </font>
    <font>
      <sz val="10"/>
      <color indexed="8"/>
      <name val="Calibri"/>
      <family val="2"/>
      <scheme val="minor"/>
    </font>
    <font>
      <b/>
      <sz val="10"/>
      <color indexed="8"/>
      <name val="Calibri"/>
      <family val="2"/>
      <scheme val="minor"/>
    </font>
    <font>
      <b/>
      <i/>
      <sz val="10"/>
      <color indexed="8"/>
      <name val="Calibri"/>
      <family val="2"/>
      <scheme val="minor"/>
    </font>
    <font>
      <b/>
      <sz val="9"/>
      <color theme="1"/>
      <name val="Calibri"/>
      <family val="2"/>
      <scheme val="minor"/>
    </font>
    <font>
      <b/>
      <i/>
      <sz val="9"/>
      <color theme="1"/>
      <name val="Calibri"/>
      <family val="2"/>
      <scheme val="minor"/>
    </font>
    <font>
      <sz val="9"/>
      <color theme="1"/>
      <name val="Calibri"/>
      <family val="2"/>
      <scheme val="minor"/>
    </font>
    <font>
      <u/>
      <sz val="9"/>
      <color theme="1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56">
    <border>
      <left/>
      <right/>
      <top/>
      <bottom/>
      <diagonal/>
    </border>
    <border>
      <left/>
      <right style="medium">
        <color indexed="64"/>
      </right>
      <top/>
      <bottom style="medium">
        <color indexed="64"/>
      </bottom>
      <diagonal/>
    </border>
    <border>
      <left/>
      <right style="medium">
        <color indexed="64"/>
      </right>
      <top/>
      <bottom/>
      <diagonal/>
    </border>
    <border>
      <left style="medium">
        <color auto="1"/>
      </left>
      <right style="hair">
        <color auto="1"/>
      </right>
      <top/>
      <bottom/>
      <diagonal/>
    </border>
    <border>
      <left style="medium">
        <color auto="1"/>
      </left>
      <right style="hair">
        <color auto="1"/>
      </right>
      <top/>
      <bottom style="medium">
        <color auto="1"/>
      </bottom>
      <diagonal/>
    </border>
    <border>
      <left style="hair">
        <color auto="1"/>
      </left>
      <right style="hair">
        <color auto="1"/>
      </right>
      <top/>
      <bottom/>
      <diagonal/>
    </border>
    <border>
      <left style="hair">
        <color auto="1"/>
      </left>
      <right style="hair">
        <color auto="1"/>
      </right>
      <top/>
      <bottom style="medium">
        <color auto="1"/>
      </bottom>
      <diagonal/>
    </border>
    <border>
      <left style="medium">
        <color auto="1"/>
      </left>
      <right style="hair">
        <color auto="1"/>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right/>
      <top/>
      <bottom style="thin">
        <color auto="1"/>
      </bottom>
      <diagonal/>
    </border>
    <border>
      <left style="thin">
        <color auto="1"/>
      </left>
      <right style="dotted">
        <color auto="1"/>
      </right>
      <top style="thin">
        <color auto="1"/>
      </top>
      <bottom style="dotted">
        <color auto="1"/>
      </bottom>
      <diagonal/>
    </border>
    <border>
      <left style="dotted">
        <color auto="1"/>
      </left>
      <right style="dotted">
        <color auto="1"/>
      </right>
      <top style="thin">
        <color auto="1"/>
      </top>
      <bottom style="dotted">
        <color auto="1"/>
      </bottom>
      <diagonal/>
    </border>
    <border>
      <left style="thin">
        <color auto="1"/>
      </left>
      <right style="dotted">
        <color auto="1"/>
      </right>
      <top style="dotted">
        <color auto="1"/>
      </top>
      <bottom style="dotted">
        <color auto="1"/>
      </bottom>
      <diagonal/>
    </border>
    <border>
      <left style="dotted">
        <color auto="1"/>
      </left>
      <right style="dotted">
        <color auto="1"/>
      </right>
      <top style="dotted">
        <color auto="1"/>
      </top>
      <bottom style="dotted">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diagonal/>
    </border>
    <border>
      <left style="dotted">
        <color auto="1"/>
      </left>
      <right style="medium">
        <color auto="1"/>
      </right>
      <top style="thin">
        <color auto="1"/>
      </top>
      <bottom style="dotted">
        <color auto="1"/>
      </bottom>
      <diagonal/>
    </border>
    <border>
      <left style="medium">
        <color auto="1"/>
      </left>
      <right style="thin">
        <color auto="1"/>
      </right>
      <top/>
      <bottom/>
      <diagonal/>
    </border>
    <border>
      <left style="dotted">
        <color auto="1"/>
      </left>
      <right style="medium">
        <color auto="1"/>
      </right>
      <top style="dotted">
        <color auto="1"/>
      </top>
      <bottom style="dotted">
        <color auto="1"/>
      </bottom>
      <diagonal/>
    </border>
    <border>
      <left style="medium">
        <color auto="1"/>
      </left>
      <right style="thin">
        <color auto="1"/>
      </right>
      <top/>
      <bottom style="medium">
        <color auto="1"/>
      </bottom>
      <diagonal/>
    </border>
    <border>
      <left style="thin">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thick">
        <color indexed="8"/>
      </left>
      <right/>
      <top style="thick">
        <color indexed="8"/>
      </top>
      <bottom/>
      <diagonal/>
    </border>
    <border>
      <left/>
      <right style="thick">
        <color indexed="8"/>
      </right>
      <top style="thick">
        <color indexed="8"/>
      </top>
      <bottom/>
      <diagonal/>
    </border>
    <border>
      <left style="thick">
        <color indexed="8"/>
      </left>
      <right style="thin">
        <color indexed="8"/>
      </right>
      <top style="thick">
        <color indexed="8"/>
      </top>
      <bottom style="thin">
        <color indexed="8"/>
      </bottom>
      <diagonal/>
    </border>
    <border>
      <left style="thin">
        <color indexed="8"/>
      </left>
      <right style="thin">
        <color indexed="8"/>
      </right>
      <top style="thick">
        <color indexed="8"/>
      </top>
      <bottom style="thin">
        <color indexed="8"/>
      </bottom>
      <diagonal/>
    </border>
    <border>
      <left style="thin">
        <color indexed="8"/>
      </left>
      <right style="thick">
        <color indexed="8"/>
      </right>
      <top style="thick">
        <color indexed="8"/>
      </top>
      <bottom style="thin">
        <color indexed="8"/>
      </bottom>
      <diagonal/>
    </border>
    <border>
      <left style="thick">
        <color indexed="8"/>
      </left>
      <right/>
      <top/>
      <bottom style="thick">
        <color indexed="8"/>
      </bottom>
      <diagonal/>
    </border>
    <border>
      <left/>
      <right style="thick">
        <color indexed="8"/>
      </right>
      <top/>
      <bottom style="thick">
        <color indexed="8"/>
      </bottom>
      <diagonal/>
    </border>
    <border>
      <left style="thick">
        <color indexed="8"/>
      </left>
      <right style="thin">
        <color indexed="8"/>
      </right>
      <top style="thin">
        <color indexed="8"/>
      </top>
      <bottom style="thick">
        <color indexed="8"/>
      </bottom>
      <diagonal/>
    </border>
    <border>
      <left style="thin">
        <color indexed="8"/>
      </left>
      <right style="thin">
        <color indexed="8"/>
      </right>
      <top style="thin">
        <color indexed="8"/>
      </top>
      <bottom style="thick">
        <color indexed="8"/>
      </bottom>
      <diagonal/>
    </border>
    <border>
      <left style="thin">
        <color indexed="8"/>
      </left>
      <right style="thick">
        <color indexed="8"/>
      </right>
      <top style="thin">
        <color indexed="8"/>
      </top>
      <bottom style="thick">
        <color indexed="8"/>
      </bottom>
      <diagonal/>
    </border>
    <border>
      <left style="thick">
        <color indexed="8"/>
      </left>
      <right style="thin">
        <color indexed="8"/>
      </right>
      <top style="thick">
        <color indexed="8"/>
      </top>
      <bottom/>
      <diagonal/>
    </border>
    <border>
      <left style="thin">
        <color indexed="8"/>
      </left>
      <right style="thin">
        <color indexed="8"/>
      </right>
      <top style="thick">
        <color indexed="8"/>
      </top>
      <bottom/>
      <diagonal/>
    </border>
    <border>
      <left style="thin">
        <color indexed="8"/>
      </left>
      <right style="thick">
        <color indexed="8"/>
      </right>
      <top style="thick">
        <color indexed="8"/>
      </top>
      <bottom/>
      <diagonal/>
    </border>
    <border>
      <left style="thick">
        <color indexed="8"/>
      </left>
      <right/>
      <top/>
      <bottom/>
      <diagonal/>
    </border>
    <border>
      <left/>
      <right style="thick">
        <color indexed="8"/>
      </right>
      <top/>
      <bottom/>
      <diagonal/>
    </border>
    <border>
      <left style="thick">
        <color indexed="8"/>
      </left>
      <right style="thin">
        <color indexed="8"/>
      </right>
      <top/>
      <bottom/>
      <diagonal/>
    </border>
    <border>
      <left style="thin">
        <color indexed="8"/>
      </left>
      <right style="thin">
        <color indexed="8"/>
      </right>
      <top/>
      <bottom/>
      <diagonal/>
    </border>
    <border>
      <left style="thin">
        <color indexed="8"/>
      </left>
      <right style="thick">
        <color indexed="8"/>
      </right>
      <top/>
      <bottom/>
      <diagonal/>
    </border>
    <border>
      <left style="thick">
        <color indexed="8"/>
      </left>
      <right style="thin">
        <color indexed="8"/>
      </right>
      <top/>
      <bottom style="thick">
        <color indexed="8"/>
      </bottom>
      <diagonal/>
    </border>
    <border>
      <left style="thin">
        <color indexed="8"/>
      </left>
      <right style="thin">
        <color indexed="8"/>
      </right>
      <top/>
      <bottom style="thick">
        <color indexed="8"/>
      </bottom>
      <diagonal/>
    </border>
    <border>
      <left style="thin">
        <color indexed="8"/>
      </left>
      <right style="thick">
        <color indexed="8"/>
      </right>
      <top/>
      <bottom style="thick">
        <color indexed="8"/>
      </bottom>
      <diagonal/>
    </border>
    <border>
      <left/>
      <right/>
      <top/>
      <bottom style="medium">
        <color auto="1"/>
      </bottom>
      <diagonal/>
    </border>
    <border>
      <left/>
      <right/>
      <top style="medium">
        <color auto="1"/>
      </top>
      <bottom style="dashed">
        <color auto="1"/>
      </bottom>
      <diagonal/>
    </border>
    <border>
      <left/>
      <right/>
      <top style="dashed">
        <color auto="1"/>
      </top>
      <bottom style="dashed">
        <color auto="1"/>
      </bottom>
      <diagonal/>
    </border>
    <border>
      <left/>
      <right/>
      <top style="dashed">
        <color auto="1"/>
      </top>
      <bottom style="thin">
        <color auto="1"/>
      </bottom>
      <diagonal/>
    </border>
    <border>
      <left/>
      <right/>
      <top style="thin">
        <color auto="1"/>
      </top>
      <bottom style="dashed">
        <color auto="1"/>
      </bottom>
      <diagonal/>
    </border>
    <border>
      <left/>
      <right/>
      <top style="thin">
        <color auto="1"/>
      </top>
      <bottom/>
      <diagonal/>
    </border>
    <border>
      <left/>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0" fontId="12" fillId="0" borderId="0"/>
  </cellStyleXfs>
  <cellXfs count="146">
    <xf numFmtId="0" fontId="0" fillId="0" borderId="0" xfId="0"/>
    <xf numFmtId="0" fontId="1" fillId="0" borderId="0" xfId="0" applyFont="1"/>
    <xf numFmtId="0" fontId="0" fillId="0" borderId="0" xfId="0" applyFont="1" applyFill="1" applyAlignment="1">
      <alignment horizontal="left" vertical="top" wrapText="1"/>
    </xf>
    <xf numFmtId="14" fontId="0" fillId="0" borderId="0" xfId="0" applyNumberFormat="1" applyFont="1" applyFill="1" applyAlignment="1">
      <alignment horizontal="left" vertical="top"/>
    </xf>
    <xf numFmtId="0" fontId="0" fillId="0" borderId="0" xfId="0" applyFont="1" applyFill="1" applyAlignment="1">
      <alignment horizontal="left" vertical="top"/>
    </xf>
    <xf numFmtId="0" fontId="2" fillId="0" borderId="0" xfId="1" applyFont="1" applyFill="1" applyAlignment="1">
      <alignment horizontal="left" vertical="top" wrapText="1"/>
    </xf>
    <xf numFmtId="0" fontId="2" fillId="0" borderId="0" xfId="1" applyFill="1" applyAlignment="1">
      <alignment horizontal="left" vertical="top" wrapText="1"/>
    </xf>
    <xf numFmtId="10" fontId="0" fillId="0" borderId="0" xfId="0" applyNumberFormat="1"/>
    <xf numFmtId="0" fontId="3" fillId="0" borderId="0" xfId="0" applyFont="1"/>
    <xf numFmtId="0" fontId="0" fillId="0" borderId="0" xfId="0" applyFill="1"/>
    <xf numFmtId="164" fontId="0" fillId="0" borderId="0" xfId="0" applyNumberFormat="1"/>
    <xf numFmtId="0" fontId="1" fillId="0" borderId="0" xfId="0" applyFont="1" applyFill="1" applyAlignment="1">
      <alignment horizontal="left" vertical="top" wrapText="1"/>
    </xf>
    <xf numFmtId="0" fontId="1" fillId="0" borderId="0" xfId="0" applyFont="1" applyFill="1" applyAlignment="1">
      <alignment horizontal="left" vertical="top"/>
    </xf>
    <xf numFmtId="0" fontId="5" fillId="0" borderId="0" xfId="0" applyFont="1" applyFill="1" applyAlignment="1">
      <alignment horizontal="left" vertical="top"/>
    </xf>
    <xf numFmtId="0" fontId="2" fillId="0" borderId="0" xfId="1" applyFont="1" applyFill="1"/>
    <xf numFmtId="0" fontId="2" fillId="0" borderId="0" xfId="1" applyFill="1"/>
    <xf numFmtId="0" fontId="4" fillId="0" borderId="0" xfId="0" applyFont="1" applyFill="1" applyAlignment="1">
      <alignment horizontal="left" vertical="top"/>
    </xf>
    <xf numFmtId="0" fontId="6" fillId="0" borderId="0" xfId="0" applyFont="1" applyFill="1" applyAlignment="1">
      <alignment horizontal="left" vertical="top"/>
    </xf>
    <xf numFmtId="0" fontId="7" fillId="0" borderId="0" xfId="0" applyFont="1" applyFill="1" applyAlignment="1">
      <alignment horizontal="left" vertical="top" wrapText="1"/>
    </xf>
    <xf numFmtId="0" fontId="2" fillId="0" borderId="0" xfId="1"/>
    <xf numFmtId="0" fontId="8" fillId="0" borderId="0" xfId="0" applyFont="1" applyAlignment="1">
      <alignment vertical="center"/>
    </xf>
    <xf numFmtId="0" fontId="0" fillId="2" borderId="0" xfId="0" applyFont="1" applyFill="1" applyAlignment="1">
      <alignment horizontal="left" vertical="top"/>
    </xf>
    <xf numFmtId="0" fontId="0" fillId="0" borderId="0" xfId="0" applyAlignment="1">
      <alignment wrapText="1"/>
    </xf>
    <xf numFmtId="0" fontId="0" fillId="0" borderId="0" xfId="0" applyAlignment="1"/>
    <xf numFmtId="0" fontId="1" fillId="0" borderId="0" xfId="0" applyFont="1" applyAlignment="1">
      <alignment vertical="top"/>
    </xf>
    <xf numFmtId="0" fontId="9" fillId="0" borderId="0" xfId="0" applyFont="1" applyAlignment="1">
      <alignment vertical="top" wrapText="1"/>
    </xf>
    <xf numFmtId="0" fontId="0" fillId="0" borderId="2" xfId="0" applyFont="1" applyBorder="1" applyAlignment="1">
      <alignment horizontal="left" vertical="top" wrapText="1"/>
    </xf>
    <xf numFmtId="0" fontId="0" fillId="0" borderId="2" xfId="0" applyFont="1" applyBorder="1" applyAlignment="1">
      <alignment horizontal="left" vertical="top"/>
    </xf>
    <xf numFmtId="0" fontId="0" fillId="0" borderId="1" xfId="0" applyFont="1" applyBorder="1" applyAlignment="1">
      <alignment horizontal="left" vertical="top" wrapText="1"/>
    </xf>
    <xf numFmtId="0" fontId="5" fillId="0" borderId="3" xfId="0" applyFont="1" applyBorder="1" applyAlignment="1">
      <alignment vertical="top"/>
    </xf>
    <xf numFmtId="0" fontId="0" fillId="0" borderId="3" xfId="0" applyBorder="1"/>
    <xf numFmtId="0" fontId="5" fillId="0" borderId="3" xfId="0" applyFont="1" applyBorder="1"/>
    <xf numFmtId="0" fontId="0" fillId="0" borderId="4" xfId="0" applyBorder="1"/>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1" fillId="0" borderId="7" xfId="0" applyFont="1" applyBorder="1"/>
    <xf numFmtId="0" fontId="1" fillId="0" borderId="8" xfId="0" applyFont="1" applyBorder="1"/>
    <xf numFmtId="0" fontId="1" fillId="0" borderId="9" xfId="0" applyFont="1" applyBorder="1" applyAlignment="1">
      <alignment vertical="top"/>
    </xf>
    <xf numFmtId="0" fontId="1" fillId="0" borderId="0" xfId="0" applyFont="1" applyAlignment="1">
      <alignment wrapText="1"/>
    </xf>
    <xf numFmtId="0" fontId="0" fillId="3" borderId="0" xfId="0" applyFont="1" applyFill="1" applyAlignment="1">
      <alignment horizontal="left" vertical="top"/>
    </xf>
    <xf numFmtId="0" fontId="5" fillId="0" borderId="10" xfId="0" applyFont="1"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1" fillId="0" borderId="18" xfId="0" applyFont="1" applyBorder="1"/>
    <xf numFmtId="0" fontId="5" fillId="0" borderId="19" xfId="0" applyFont="1" applyBorder="1"/>
    <xf numFmtId="0" fontId="5" fillId="0" borderId="20" xfId="0" applyFont="1" applyBorder="1"/>
    <xf numFmtId="0" fontId="0" fillId="0" borderId="21" xfId="0" applyBorder="1"/>
    <xf numFmtId="0" fontId="5" fillId="0" borderId="22" xfId="0" applyFont="1" applyBorder="1"/>
    <xf numFmtId="0" fontId="0" fillId="0" borderId="23" xfId="0" applyBorder="1"/>
    <xf numFmtId="0" fontId="5" fillId="0" borderId="24" xfId="0" applyFont="1" applyBorder="1"/>
    <xf numFmtId="0" fontId="0" fillId="0" borderId="25" xfId="0" applyBorder="1"/>
    <xf numFmtId="0" fontId="0" fillId="0" borderId="26" xfId="0" applyBorder="1"/>
    <xf numFmtId="0" fontId="0" fillId="0" borderId="27" xfId="0" applyBorder="1"/>
    <xf numFmtId="0" fontId="1" fillId="0" borderId="0" xfId="0" applyFont="1" applyAlignment="1"/>
    <xf numFmtId="0" fontId="5" fillId="0" borderId="0" xfId="0" applyFont="1"/>
    <xf numFmtId="0" fontId="12" fillId="0" borderId="0" xfId="2"/>
    <xf numFmtId="0" fontId="13" fillId="0" borderId="0" xfId="2" applyFont="1" applyBorder="1" applyAlignment="1">
      <alignment vertical="center" wrapText="1"/>
    </xf>
    <xf numFmtId="0" fontId="14" fillId="0" borderId="35" xfId="2" applyFont="1" applyBorder="1" applyAlignment="1">
      <alignment horizontal="center" wrapText="1"/>
    </xf>
    <xf numFmtId="0" fontId="14" fillId="0" borderId="36" xfId="2" applyFont="1" applyBorder="1" applyAlignment="1">
      <alignment horizontal="center" wrapText="1"/>
    </xf>
    <xf numFmtId="0" fontId="14" fillId="0" borderId="29" xfId="2" applyFont="1" applyBorder="1" applyAlignment="1">
      <alignment horizontal="left" vertical="top" wrapText="1"/>
    </xf>
    <xf numFmtId="0" fontId="14" fillId="0" borderId="42" xfId="2" applyFont="1" applyBorder="1" applyAlignment="1">
      <alignment horizontal="left" vertical="top" wrapText="1"/>
    </xf>
    <xf numFmtId="0" fontId="0" fillId="0" borderId="0" xfId="0" applyFont="1"/>
    <xf numFmtId="165" fontId="14" fillId="0" borderId="38" xfId="2" applyNumberFormat="1" applyFont="1" applyBorder="1" applyAlignment="1">
      <alignment horizontal="center" vertical="center"/>
    </xf>
    <xf numFmtId="165" fontId="14" fillId="0" borderId="39" xfId="2" applyNumberFormat="1" applyFont="1" applyBorder="1" applyAlignment="1">
      <alignment horizontal="center" vertical="center"/>
    </xf>
    <xf numFmtId="165" fontId="16" fillId="0" borderId="40" xfId="2" applyNumberFormat="1" applyFont="1" applyBorder="1" applyAlignment="1">
      <alignment horizontal="center" vertical="center"/>
    </xf>
    <xf numFmtId="165" fontId="14" fillId="0" borderId="43" xfId="2" applyNumberFormat="1" applyFont="1" applyBorder="1" applyAlignment="1">
      <alignment horizontal="center" vertical="center"/>
    </xf>
    <xf numFmtId="165" fontId="14" fillId="0" borderId="44" xfId="2" applyNumberFormat="1" applyFont="1" applyBorder="1" applyAlignment="1">
      <alignment horizontal="center" vertical="center"/>
    </xf>
    <xf numFmtId="165" fontId="16" fillId="0" borderId="45" xfId="2" applyNumberFormat="1" applyFont="1" applyBorder="1" applyAlignment="1">
      <alignment horizontal="center" vertical="center"/>
    </xf>
    <xf numFmtId="165" fontId="16" fillId="0" borderId="46" xfId="2" applyNumberFormat="1" applyFont="1" applyBorder="1" applyAlignment="1">
      <alignment horizontal="center" vertical="center"/>
    </xf>
    <xf numFmtId="165" fontId="16" fillId="0" borderId="47" xfId="2" applyNumberFormat="1" applyFont="1" applyBorder="1" applyAlignment="1">
      <alignment horizontal="center" vertical="center"/>
    </xf>
    <xf numFmtId="165" fontId="15" fillId="0" borderId="48" xfId="2" applyNumberFormat="1" applyFont="1" applyBorder="1" applyAlignment="1">
      <alignment horizontal="center" vertical="center"/>
    </xf>
    <xf numFmtId="0" fontId="18" fillId="0" borderId="49" xfId="0" applyFont="1" applyBorder="1"/>
    <xf numFmtId="0" fontId="19" fillId="0" borderId="50" xfId="0" applyFont="1" applyFill="1" applyBorder="1" applyAlignment="1">
      <alignment horizontal="left" vertical="top" wrapText="1"/>
    </xf>
    <xf numFmtId="0" fontId="20" fillId="0" borderId="50" xfId="1" applyFont="1" applyFill="1" applyBorder="1" applyAlignment="1">
      <alignment horizontal="left" vertical="top" wrapText="1"/>
    </xf>
    <xf numFmtId="0" fontId="19" fillId="0" borderId="50" xfId="0" applyFont="1" applyFill="1" applyBorder="1" applyAlignment="1">
      <alignment horizontal="right" vertical="top"/>
    </xf>
    <xf numFmtId="0" fontId="18" fillId="0" borderId="50" xfId="0" applyFont="1" applyFill="1" applyBorder="1" applyAlignment="1">
      <alignment horizontal="right" vertical="top"/>
    </xf>
    <xf numFmtId="0" fontId="19" fillId="0" borderId="51" xfId="0" applyFont="1" applyFill="1" applyBorder="1" applyAlignment="1">
      <alignment horizontal="left" vertical="top" wrapText="1"/>
    </xf>
    <xf numFmtId="0" fontId="20" fillId="0" borderId="51" xfId="1" applyFont="1" applyFill="1" applyBorder="1" applyAlignment="1">
      <alignment horizontal="left" vertical="top" wrapText="1"/>
    </xf>
    <xf numFmtId="0" fontId="19" fillId="0" borderId="51" xfId="0" applyFont="1" applyFill="1" applyBorder="1" applyAlignment="1">
      <alignment horizontal="right" vertical="top"/>
    </xf>
    <xf numFmtId="0" fontId="18" fillId="0" borderId="51" xfId="0" applyFont="1" applyFill="1" applyBorder="1" applyAlignment="1">
      <alignment horizontal="right" vertical="top"/>
    </xf>
    <xf numFmtId="0" fontId="19" fillId="0" borderId="52" xfId="0" applyFont="1" applyFill="1" applyBorder="1" applyAlignment="1">
      <alignment horizontal="left" vertical="top"/>
    </xf>
    <xf numFmtId="0" fontId="20" fillId="0" borderId="52" xfId="1" applyFont="1" applyFill="1" applyBorder="1" applyAlignment="1">
      <alignment horizontal="left" vertical="top" wrapText="1"/>
    </xf>
    <xf numFmtId="0" fontId="19" fillId="0" borderId="52" xfId="0" applyFont="1" applyFill="1" applyBorder="1" applyAlignment="1">
      <alignment horizontal="right" vertical="top"/>
    </xf>
    <xf numFmtId="0" fontId="18" fillId="0" borderId="52" xfId="0" applyFont="1" applyFill="1" applyBorder="1" applyAlignment="1">
      <alignment horizontal="right" vertical="top"/>
    </xf>
    <xf numFmtId="0" fontId="19" fillId="0" borderId="53" xfId="0" applyFont="1" applyFill="1" applyBorder="1" applyAlignment="1">
      <alignment horizontal="left" vertical="top"/>
    </xf>
    <xf numFmtId="0" fontId="20" fillId="0" borderId="53" xfId="1" applyFont="1" applyFill="1" applyBorder="1" applyAlignment="1">
      <alignment horizontal="left" vertical="top" wrapText="1"/>
    </xf>
    <xf numFmtId="0" fontId="19" fillId="0" borderId="53" xfId="0" applyFont="1" applyFill="1" applyBorder="1" applyAlignment="1">
      <alignment horizontal="right" vertical="top"/>
    </xf>
    <xf numFmtId="0" fontId="18" fillId="0" borderId="53" xfId="0" applyFont="1" applyFill="1" applyBorder="1" applyAlignment="1">
      <alignment horizontal="right" vertical="top"/>
    </xf>
    <xf numFmtId="0" fontId="19" fillId="0" borderId="52" xfId="0" applyFont="1" applyFill="1" applyBorder="1" applyAlignment="1">
      <alignment horizontal="left" vertical="top" wrapText="1"/>
    </xf>
    <xf numFmtId="0" fontId="19" fillId="0" borderId="53" xfId="0" applyFont="1" applyFill="1" applyBorder="1" applyAlignment="1">
      <alignment horizontal="left" vertical="top" wrapText="1"/>
    </xf>
    <xf numFmtId="0" fontId="17" fillId="0" borderId="10" xfId="0" applyFont="1" applyFill="1" applyBorder="1" applyAlignment="1">
      <alignment horizontal="center" vertical="center"/>
    </xf>
    <xf numFmtId="0" fontId="19" fillId="0" borderId="10" xfId="0" applyFont="1" applyFill="1" applyBorder="1" applyAlignment="1">
      <alignment horizontal="left" vertical="top" wrapText="1"/>
    </xf>
    <xf numFmtId="0" fontId="20" fillId="0" borderId="10" xfId="1" applyFont="1" applyFill="1" applyBorder="1" applyAlignment="1">
      <alignment horizontal="left" vertical="top" wrapText="1"/>
    </xf>
    <xf numFmtId="0" fontId="19" fillId="0" borderId="10" xfId="0" applyFont="1" applyFill="1" applyBorder="1" applyAlignment="1">
      <alignment horizontal="right" vertical="top"/>
    </xf>
    <xf numFmtId="0" fontId="18" fillId="0" borderId="10" xfId="0" applyFont="1" applyFill="1" applyBorder="1" applyAlignment="1">
      <alignment horizontal="right" vertical="top"/>
    </xf>
    <xf numFmtId="0" fontId="19" fillId="0" borderId="10" xfId="0" applyFont="1" applyFill="1" applyBorder="1" applyAlignment="1">
      <alignment horizontal="left" vertical="top"/>
    </xf>
    <xf numFmtId="0" fontId="17" fillId="0" borderId="10" xfId="0" applyFont="1" applyFill="1" applyBorder="1" applyAlignment="1">
      <alignment horizontal="center" vertical="center" wrapText="1"/>
    </xf>
    <xf numFmtId="0" fontId="19" fillId="0" borderId="55" xfId="0" applyFont="1" applyFill="1" applyBorder="1" applyAlignment="1">
      <alignment horizontal="left" vertical="top" wrapText="1"/>
    </xf>
    <xf numFmtId="0" fontId="20" fillId="0" borderId="55" xfId="1" applyFont="1" applyBorder="1"/>
    <xf numFmtId="0" fontId="19" fillId="0" borderId="55" xfId="0" applyFont="1" applyFill="1" applyBorder="1" applyAlignment="1">
      <alignment horizontal="right" vertical="top"/>
    </xf>
    <xf numFmtId="0" fontId="18" fillId="0" borderId="55" xfId="0" applyFont="1" applyFill="1" applyBorder="1" applyAlignment="1">
      <alignment horizontal="right" vertical="top"/>
    </xf>
    <xf numFmtId="0" fontId="20" fillId="0" borderId="10" xfId="1" applyFont="1" applyFill="1" applyBorder="1"/>
    <xf numFmtId="0" fontId="19" fillId="0" borderId="0" xfId="0" applyFont="1" applyBorder="1"/>
    <xf numFmtId="0" fontId="19" fillId="0" borderId="0" xfId="0" applyFont="1" applyBorder="1" applyAlignment="1">
      <alignment wrapText="1"/>
    </xf>
    <xf numFmtId="0" fontId="17" fillId="0" borderId="49" xfId="0" applyFont="1" applyBorder="1" applyAlignment="1">
      <alignment horizontal="center"/>
    </xf>
    <xf numFmtId="0" fontId="17" fillId="0" borderId="49" xfId="0" applyFont="1" applyBorder="1" applyAlignment="1">
      <alignment horizontal="center" wrapText="1"/>
    </xf>
    <xf numFmtId="0" fontId="17" fillId="0" borderId="50" xfId="0" applyFont="1" applyFill="1" applyBorder="1" applyAlignment="1">
      <alignment horizontal="right" vertical="top"/>
    </xf>
    <xf numFmtId="0" fontId="17" fillId="0" borderId="51" xfId="0" applyFont="1" applyFill="1" applyBorder="1" applyAlignment="1">
      <alignment horizontal="right" vertical="top"/>
    </xf>
    <xf numFmtId="0" fontId="17" fillId="0" borderId="52" xfId="0" applyFont="1" applyFill="1" applyBorder="1" applyAlignment="1">
      <alignment horizontal="right" vertical="top"/>
    </xf>
    <xf numFmtId="0" fontId="17" fillId="0" borderId="53" xfId="0" applyFont="1" applyFill="1" applyBorder="1" applyAlignment="1">
      <alignment horizontal="right" vertical="top"/>
    </xf>
    <xf numFmtId="0" fontId="17" fillId="0" borderId="10" xfId="0" applyFont="1" applyFill="1" applyBorder="1" applyAlignment="1">
      <alignment horizontal="right" vertical="top"/>
    </xf>
    <xf numFmtId="0" fontId="0" fillId="0" borderId="0" xfId="0" applyFill="1" applyAlignment="1"/>
    <xf numFmtId="0" fontId="10" fillId="0" borderId="0" xfId="0" applyFont="1" applyAlignment="1">
      <alignment horizontal="left"/>
    </xf>
    <xf numFmtId="0" fontId="0" fillId="0" borderId="0" xfId="0" applyAlignment="1">
      <alignment horizontal="left" vertical="top" wrapText="1"/>
    </xf>
    <xf numFmtId="0" fontId="5" fillId="0" borderId="0" xfId="0" applyFont="1" applyAlignment="1">
      <alignment horizontal="left" vertical="top" wrapText="1"/>
    </xf>
    <xf numFmtId="0" fontId="1" fillId="0" borderId="49" xfId="0" applyFont="1" applyBorder="1" applyAlignment="1">
      <alignment horizontal="left" vertical="top"/>
    </xf>
    <xf numFmtId="0" fontId="1" fillId="0" borderId="0" xfId="0" applyFont="1" applyFill="1" applyAlignment="1">
      <alignment horizontal="center" vertical="top"/>
    </xf>
    <xf numFmtId="0" fontId="11" fillId="0" borderId="0" xfId="0" applyFont="1" applyAlignment="1">
      <alignment horizontal="center"/>
    </xf>
    <xf numFmtId="0" fontId="1" fillId="0" borderId="0" xfId="0" applyFont="1" applyAlignment="1">
      <alignment horizontal="center"/>
    </xf>
    <xf numFmtId="0" fontId="1" fillId="0" borderId="0" xfId="0" applyFont="1" applyAlignment="1">
      <alignment horizontal="center" vertical="center"/>
    </xf>
    <xf numFmtId="0" fontId="1" fillId="0" borderId="16" xfId="0" applyFont="1" applyBorder="1" applyAlignment="1">
      <alignment horizontal="center"/>
    </xf>
    <xf numFmtId="0" fontId="1" fillId="0" borderId="17" xfId="0" applyFont="1" applyBorder="1" applyAlignment="1">
      <alignment horizontal="center"/>
    </xf>
    <xf numFmtId="0" fontId="1" fillId="0" borderId="16" xfId="0" applyFont="1" applyBorder="1" applyAlignment="1">
      <alignment horizontal="center" wrapText="1"/>
    </xf>
    <xf numFmtId="0" fontId="1" fillId="0" borderId="10" xfId="0" applyFont="1" applyBorder="1" applyAlignment="1">
      <alignment horizontal="center" wrapText="1"/>
    </xf>
    <xf numFmtId="0" fontId="17" fillId="0" borderId="0" xfId="0" applyFont="1" applyBorder="1" applyAlignment="1">
      <alignment horizontal="center"/>
    </xf>
    <xf numFmtId="0" fontId="17" fillId="0" borderId="16" xfId="0" applyFont="1" applyFill="1" applyBorder="1" applyAlignment="1">
      <alignment horizontal="center" vertical="center"/>
    </xf>
    <xf numFmtId="0" fontId="17" fillId="0" borderId="0" xfId="0" applyFont="1" applyFill="1" applyBorder="1" applyAlignment="1">
      <alignment horizontal="center" vertical="center"/>
    </xf>
    <xf numFmtId="0" fontId="17" fillId="0" borderId="10" xfId="0" applyFont="1" applyFill="1" applyBorder="1" applyAlignment="1">
      <alignment horizontal="center" vertical="center"/>
    </xf>
    <xf numFmtId="0" fontId="17" fillId="0" borderId="54" xfId="0" applyFont="1" applyFill="1" applyBorder="1" applyAlignment="1">
      <alignment horizontal="center" vertical="center"/>
    </xf>
    <xf numFmtId="0" fontId="17" fillId="0" borderId="0" xfId="0" applyFont="1" applyBorder="1" applyAlignment="1">
      <alignment horizontal="center" vertical="center"/>
    </xf>
    <xf numFmtId="0" fontId="17" fillId="0" borderId="49" xfId="0" applyFont="1" applyBorder="1" applyAlignment="1">
      <alignment horizontal="center" vertical="center"/>
    </xf>
    <xf numFmtId="0" fontId="15" fillId="0" borderId="28" xfId="2" applyFont="1" applyBorder="1" applyAlignment="1">
      <alignment horizontal="center" vertical="center" textRotation="90" wrapText="1"/>
    </xf>
    <xf numFmtId="0" fontId="15" fillId="0" borderId="41" xfId="2" applyFont="1" applyBorder="1" applyAlignment="1">
      <alignment horizontal="center" vertical="center" textRotation="90" wrapText="1"/>
    </xf>
    <xf numFmtId="0" fontId="16" fillId="0" borderId="33" xfId="2" applyFont="1" applyBorder="1" applyAlignment="1">
      <alignment horizontal="left" vertical="top" wrapText="1"/>
    </xf>
    <xf numFmtId="0" fontId="16" fillId="0" borderId="34" xfId="2" applyFont="1" applyBorder="1" applyAlignment="1">
      <alignment horizontal="left" vertical="top" wrapText="1"/>
    </xf>
    <xf numFmtId="0" fontId="14" fillId="0" borderId="28" xfId="2" applyFont="1" applyBorder="1" applyAlignment="1">
      <alignment horizontal="left" wrapText="1"/>
    </xf>
    <xf numFmtId="0" fontId="14" fillId="0" borderId="29" xfId="2" applyFont="1" applyBorder="1" applyAlignment="1">
      <alignment horizontal="left" wrapText="1"/>
    </xf>
    <xf numFmtId="0" fontId="14" fillId="0" borderId="33" xfId="2" applyFont="1" applyBorder="1" applyAlignment="1">
      <alignment horizontal="left" wrapText="1"/>
    </xf>
    <xf numFmtId="0" fontId="14" fillId="0" borderId="34" xfId="2" applyFont="1" applyBorder="1" applyAlignment="1">
      <alignment horizontal="left" wrapText="1"/>
    </xf>
    <xf numFmtId="0" fontId="15" fillId="0" borderId="30" xfId="2" applyFont="1" applyBorder="1" applyAlignment="1">
      <alignment horizontal="center" wrapText="1"/>
    </xf>
    <xf numFmtId="0" fontId="15" fillId="0" borderId="31" xfId="2" applyFont="1" applyBorder="1" applyAlignment="1">
      <alignment horizontal="center" wrapText="1"/>
    </xf>
    <xf numFmtId="0" fontId="16" fillId="0" borderId="32" xfId="2" applyFont="1" applyBorder="1" applyAlignment="1">
      <alignment horizontal="center" wrapText="1"/>
    </xf>
    <xf numFmtId="0" fontId="16" fillId="0" borderId="37" xfId="2" applyFont="1" applyBorder="1" applyAlignment="1">
      <alignment horizontal="center" wrapText="1"/>
    </xf>
  </cellXfs>
  <cellStyles count="3">
    <cellStyle name="Hyperlink" xfId="1" builtinId="8"/>
    <cellStyle name="Normal" xfId="0" builtinId="0"/>
    <cellStyle name="Normal_Sheet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4.xml"/><Relationship Id="rId13" Type="http://schemas.openxmlformats.org/officeDocument/2006/relationships/chartsheet" Target="chartsheets/sheet9.xml"/><Relationship Id="rId18" Type="http://schemas.openxmlformats.org/officeDocument/2006/relationships/chartsheet" Target="chartsheets/sheet13.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7.xml"/><Relationship Id="rId7" Type="http://schemas.openxmlformats.org/officeDocument/2006/relationships/chartsheet" Target="chartsheets/sheet3.xml"/><Relationship Id="rId12" Type="http://schemas.openxmlformats.org/officeDocument/2006/relationships/chartsheet" Target="chartsheets/sheet8.xml"/><Relationship Id="rId17" Type="http://schemas.openxmlformats.org/officeDocument/2006/relationships/chartsheet" Target="chartsheets/sheet12.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5.xml"/><Relationship Id="rId20" Type="http://schemas.openxmlformats.org/officeDocument/2006/relationships/worksheet" Target="worksheets/sheet6.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7.xml"/><Relationship Id="rId24" Type="http://schemas.openxmlformats.org/officeDocument/2006/relationships/worksheet" Target="worksheets/sheet10.xml"/><Relationship Id="rId5" Type="http://schemas.openxmlformats.org/officeDocument/2006/relationships/chartsheet" Target="chartsheets/sheet1.xml"/><Relationship Id="rId15" Type="http://schemas.openxmlformats.org/officeDocument/2006/relationships/chartsheet" Target="chartsheets/sheet11.xml"/><Relationship Id="rId23" Type="http://schemas.openxmlformats.org/officeDocument/2006/relationships/worksheet" Target="worksheets/sheet9.xml"/><Relationship Id="rId28" Type="http://schemas.openxmlformats.org/officeDocument/2006/relationships/calcChain" Target="calcChain.xml"/><Relationship Id="rId10" Type="http://schemas.openxmlformats.org/officeDocument/2006/relationships/chartsheet" Target="chartsheets/sheet6.xml"/><Relationship Id="rId19" Type="http://schemas.openxmlformats.org/officeDocument/2006/relationships/chartsheet" Target="chartsheets/sheet14.xml"/><Relationship Id="rId4" Type="http://schemas.openxmlformats.org/officeDocument/2006/relationships/worksheet" Target="worksheets/sheet4.xml"/><Relationship Id="rId9" Type="http://schemas.openxmlformats.org/officeDocument/2006/relationships/chartsheet" Target="chartsheets/sheet5.xml"/><Relationship Id="rId14" Type="http://schemas.openxmlformats.org/officeDocument/2006/relationships/chartsheet" Target="chartsheets/sheet10.xml"/><Relationship Id="rId22" Type="http://schemas.openxmlformats.org/officeDocument/2006/relationships/worksheet" Target="worksheets/sheet8.xml"/><Relationship Id="rId27"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Primary</a:t>
            </a:r>
            <a:r>
              <a:rPr lang="en-US" baseline="0"/>
              <a:t> Decision-Making Category</a:t>
            </a:r>
            <a:br>
              <a:rPr lang="en-US" baseline="0"/>
            </a:br>
            <a:r>
              <a:rPr lang="en-US" sz="1200" b="0" baseline="0"/>
              <a:t>258 Records</a:t>
            </a:r>
          </a:p>
        </c:rich>
      </c:tx>
      <c:overlay val="0"/>
    </c:title>
    <c:autoTitleDeleted val="0"/>
    <c:plotArea>
      <c:layout/>
      <c:pieChart>
        <c:varyColors val="1"/>
        <c:ser>
          <c:idx val="0"/>
          <c:order val="0"/>
          <c:dLbls>
            <c:showLegendKey val="0"/>
            <c:showVal val="0"/>
            <c:showCatName val="0"/>
            <c:showSerName val="0"/>
            <c:showPercent val="1"/>
            <c:showBubbleSize val="0"/>
            <c:showLeaderLines val="1"/>
          </c:dLbls>
          <c:cat>
            <c:strRef>
              <c:f>Analysis!$F$2:$F$7</c:f>
              <c:strCache>
                <c:ptCount val="6"/>
                <c:pt idx="0">
                  <c:v>Programming</c:v>
                </c:pt>
                <c:pt idx="1">
                  <c:v>Systems Planning</c:v>
                </c:pt>
                <c:pt idx="2">
                  <c:v>Operations</c:v>
                </c:pt>
                <c:pt idx="3">
                  <c:v>Construction</c:v>
                </c:pt>
                <c:pt idx="4">
                  <c:v>Maintenance</c:v>
                </c:pt>
                <c:pt idx="5">
                  <c:v>Project Development</c:v>
                </c:pt>
              </c:strCache>
            </c:strRef>
          </c:cat>
          <c:val>
            <c:numRef>
              <c:f>Analysis!$G$2:$G$7</c:f>
              <c:numCache>
                <c:formatCode>General</c:formatCode>
                <c:ptCount val="6"/>
                <c:pt idx="0">
                  <c:v>88</c:v>
                </c:pt>
                <c:pt idx="1">
                  <c:v>91</c:v>
                </c:pt>
                <c:pt idx="2">
                  <c:v>19</c:v>
                </c:pt>
                <c:pt idx="3">
                  <c:v>38</c:v>
                </c:pt>
                <c:pt idx="4">
                  <c:v>15</c:v>
                </c:pt>
                <c:pt idx="5">
                  <c:v>7</c:v>
                </c:pt>
              </c:numCache>
            </c:numRef>
          </c:val>
        </c:ser>
        <c:dLbls>
          <c:showLegendKey val="0"/>
          <c:showVal val="0"/>
          <c:showCatName val="0"/>
          <c:showSerName val="0"/>
          <c:showPercent val="1"/>
          <c:showBubbleSize val="0"/>
          <c:showLeaderLines val="1"/>
        </c:dLbls>
        <c:firstSliceAng val="0"/>
      </c:pieChart>
    </c:plotArea>
    <c:legend>
      <c:legendPos val="r"/>
      <c:overlay val="0"/>
    </c:legend>
    <c:plotVisOnly val="1"/>
    <c:dispBlanksAs val="zero"/>
    <c:showDLblsOverMax val="0"/>
  </c:char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Secondary Decision-Making Category</a:t>
            </a:r>
            <a:br>
              <a:rPr lang="en-US"/>
            </a:br>
            <a:r>
              <a:rPr lang="en-US" sz="1200" b="0"/>
              <a:t>192 Records</a:t>
            </a:r>
          </a:p>
        </c:rich>
      </c:tx>
      <c:overlay val="0"/>
    </c:title>
    <c:autoTitleDeleted val="0"/>
    <c:plotArea>
      <c:layout/>
      <c:pieChart>
        <c:varyColors val="1"/>
        <c:ser>
          <c:idx val="1"/>
          <c:order val="0"/>
          <c:tx>
            <c:strRef>
              <c:f>Analysis!$H$1</c:f>
              <c:strCache>
                <c:ptCount val="1"/>
                <c:pt idx="0">
                  <c:v>Secondary Category</c:v>
                </c:pt>
              </c:strCache>
            </c:strRef>
          </c:tx>
          <c:dLbls>
            <c:showLegendKey val="0"/>
            <c:showVal val="0"/>
            <c:showCatName val="0"/>
            <c:showSerName val="0"/>
            <c:showPercent val="1"/>
            <c:showBubbleSize val="0"/>
            <c:showLeaderLines val="1"/>
          </c:dLbls>
          <c:cat>
            <c:strRef>
              <c:f>Analysis!$H$2:$H$7</c:f>
              <c:strCache>
                <c:ptCount val="6"/>
                <c:pt idx="0">
                  <c:v>Programming</c:v>
                </c:pt>
                <c:pt idx="1">
                  <c:v>Systems Planning</c:v>
                </c:pt>
                <c:pt idx="2">
                  <c:v>Operations</c:v>
                </c:pt>
                <c:pt idx="3">
                  <c:v>Construction</c:v>
                </c:pt>
                <c:pt idx="4">
                  <c:v>Maintenance</c:v>
                </c:pt>
                <c:pt idx="5">
                  <c:v>Project Development</c:v>
                </c:pt>
              </c:strCache>
            </c:strRef>
          </c:cat>
          <c:val>
            <c:numRef>
              <c:f>Analysis!$I$2:$I$7</c:f>
              <c:numCache>
                <c:formatCode>General</c:formatCode>
                <c:ptCount val="6"/>
                <c:pt idx="0">
                  <c:v>73</c:v>
                </c:pt>
                <c:pt idx="1">
                  <c:v>2</c:v>
                </c:pt>
                <c:pt idx="2">
                  <c:v>66</c:v>
                </c:pt>
                <c:pt idx="3">
                  <c:v>6</c:v>
                </c:pt>
                <c:pt idx="4">
                  <c:v>28</c:v>
                </c:pt>
                <c:pt idx="5">
                  <c:v>17</c:v>
                </c:pt>
              </c:numCache>
            </c:numRef>
          </c:val>
        </c:ser>
        <c:dLbls>
          <c:showLegendKey val="0"/>
          <c:showVal val="0"/>
          <c:showCatName val="0"/>
          <c:showSerName val="0"/>
          <c:showPercent val="0"/>
          <c:showBubbleSize val="0"/>
          <c:showLeaderLines val="1"/>
        </c:dLbls>
        <c:firstSliceAng val="0"/>
      </c:pieChart>
    </c:plotArea>
    <c:legend>
      <c:legendPos val="r"/>
      <c:overlay val="0"/>
    </c:legend>
    <c:plotVisOnly val="1"/>
    <c:dispBlanksAs val="zero"/>
    <c:showDLblsOverMax val="0"/>
  </c:char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a:pPr>
            <a:r>
              <a:rPr lang="en-US" sz="1600"/>
              <a:t>Total Records Addressing Each Decision-Making Area</a:t>
            </a:r>
            <a:br>
              <a:rPr lang="en-US" sz="1600"/>
            </a:br>
            <a:r>
              <a:rPr lang="en-US" sz="1200" b="0"/>
              <a:t>258</a:t>
            </a:r>
            <a:r>
              <a:rPr lang="en-US" sz="1200" b="0" baseline="0"/>
              <a:t> Records - Primary and Secondary Areas Combined</a:t>
            </a:r>
            <a:endParaRPr lang="en-US" sz="1200" b="0"/>
          </a:p>
        </c:rich>
      </c:tx>
      <c:overlay val="0"/>
    </c:title>
    <c:autoTitleDeleted val="0"/>
    <c:plotArea>
      <c:layout/>
      <c:barChart>
        <c:barDir val="col"/>
        <c:grouping val="clustered"/>
        <c:varyColors val="0"/>
        <c:ser>
          <c:idx val="0"/>
          <c:order val="0"/>
          <c:invertIfNegative val="0"/>
          <c:dLbls>
            <c:numFmt formatCode="0.0%" sourceLinked="0"/>
            <c:showLegendKey val="0"/>
            <c:showVal val="1"/>
            <c:showCatName val="0"/>
            <c:showSerName val="0"/>
            <c:showPercent val="0"/>
            <c:showBubbleSize val="0"/>
            <c:showLeaderLines val="0"/>
          </c:dLbls>
          <c:cat>
            <c:strRef>
              <c:f>Analysis!$F$2:$F$7</c:f>
              <c:strCache>
                <c:ptCount val="6"/>
                <c:pt idx="0">
                  <c:v>Programming</c:v>
                </c:pt>
                <c:pt idx="1">
                  <c:v>Systems Planning</c:v>
                </c:pt>
                <c:pt idx="2">
                  <c:v>Operations</c:v>
                </c:pt>
                <c:pt idx="3">
                  <c:v>Construction</c:v>
                </c:pt>
                <c:pt idx="4">
                  <c:v>Maintenance</c:v>
                </c:pt>
                <c:pt idx="5">
                  <c:v>Project Development</c:v>
                </c:pt>
              </c:strCache>
            </c:strRef>
          </c:cat>
          <c:val>
            <c:numRef>
              <c:f>Analysis!$K$2:$K$7</c:f>
              <c:numCache>
                <c:formatCode>General</c:formatCode>
                <c:ptCount val="6"/>
                <c:pt idx="0">
                  <c:v>0.62403100775193798</c:v>
                </c:pt>
                <c:pt idx="1">
                  <c:v>0.36046511627906974</c:v>
                </c:pt>
                <c:pt idx="2">
                  <c:v>0.32945736434108525</c:v>
                </c:pt>
                <c:pt idx="3">
                  <c:v>0.17054263565891473</c:v>
                </c:pt>
                <c:pt idx="4">
                  <c:v>0.16666666666666666</c:v>
                </c:pt>
                <c:pt idx="5">
                  <c:v>9.3023255813953487E-2</c:v>
                </c:pt>
              </c:numCache>
            </c:numRef>
          </c:val>
        </c:ser>
        <c:dLbls>
          <c:showLegendKey val="0"/>
          <c:showVal val="0"/>
          <c:showCatName val="0"/>
          <c:showSerName val="0"/>
          <c:showPercent val="0"/>
          <c:showBubbleSize val="0"/>
        </c:dLbls>
        <c:gapWidth val="150"/>
        <c:axId val="150116224"/>
        <c:axId val="150117760"/>
      </c:barChart>
      <c:catAx>
        <c:axId val="150116224"/>
        <c:scaling>
          <c:orientation val="minMax"/>
        </c:scaling>
        <c:delete val="0"/>
        <c:axPos val="b"/>
        <c:majorTickMark val="out"/>
        <c:minorTickMark val="none"/>
        <c:tickLblPos val="nextTo"/>
        <c:crossAx val="150117760"/>
        <c:crosses val="autoZero"/>
        <c:auto val="1"/>
        <c:lblAlgn val="ctr"/>
        <c:lblOffset val="100"/>
        <c:noMultiLvlLbl val="0"/>
      </c:catAx>
      <c:valAx>
        <c:axId val="150117760"/>
        <c:scaling>
          <c:orientation val="minMax"/>
        </c:scaling>
        <c:delete val="0"/>
        <c:axPos val="l"/>
        <c:majorGridlines/>
        <c:numFmt formatCode="0.00%" sourceLinked="0"/>
        <c:majorTickMark val="out"/>
        <c:minorTickMark val="none"/>
        <c:tickLblPos val="nextTo"/>
        <c:crossAx val="150116224"/>
        <c:crosses val="autoZero"/>
        <c:crossBetween val="between"/>
      </c:valAx>
    </c:plotArea>
    <c:plotVisOnly val="1"/>
    <c:dispBlanksAs val="gap"/>
    <c:showDLblsOverMax val="0"/>
  </c:chart>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Number of Records per Year by Score and Percent of Records Related to Sustainability </a:t>
            </a:r>
          </a:p>
        </c:rich>
      </c:tx>
      <c:overlay val="0"/>
    </c:title>
    <c:autoTitleDeleted val="0"/>
    <c:plotArea>
      <c:layout/>
      <c:barChart>
        <c:barDir val="col"/>
        <c:grouping val="stacked"/>
        <c:varyColors val="0"/>
        <c:ser>
          <c:idx val="0"/>
          <c:order val="0"/>
          <c:tx>
            <c:v>0 points</c:v>
          </c:tx>
          <c:invertIfNegative val="0"/>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Analysis!$O$4:$O$10</c:f>
              <c:numCache>
                <c:formatCode>General</c:formatCode>
                <c:ptCount val="7"/>
                <c:pt idx="0">
                  <c:v>2</c:v>
                </c:pt>
                <c:pt idx="1">
                  <c:v>22</c:v>
                </c:pt>
                <c:pt idx="2">
                  <c:v>9</c:v>
                </c:pt>
                <c:pt idx="3">
                  <c:v>10</c:v>
                </c:pt>
                <c:pt idx="4">
                  <c:v>6</c:v>
                </c:pt>
                <c:pt idx="5">
                  <c:v>4</c:v>
                </c:pt>
                <c:pt idx="6">
                  <c:v>13</c:v>
                </c:pt>
              </c:numCache>
            </c:numRef>
          </c:val>
        </c:ser>
        <c:ser>
          <c:idx val="1"/>
          <c:order val="1"/>
          <c:tx>
            <c:v>0.5 points</c:v>
          </c:tx>
          <c:invertIfNegative val="0"/>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Analysis!$P$4:$P$10</c:f>
              <c:numCache>
                <c:formatCode>General</c:formatCode>
                <c:ptCount val="7"/>
                <c:pt idx="0">
                  <c:v>16</c:v>
                </c:pt>
                <c:pt idx="1">
                  <c:v>40</c:v>
                </c:pt>
                <c:pt idx="2">
                  <c:v>17</c:v>
                </c:pt>
                <c:pt idx="3">
                  <c:v>8</c:v>
                </c:pt>
                <c:pt idx="4">
                  <c:v>16</c:v>
                </c:pt>
                <c:pt idx="5">
                  <c:v>7</c:v>
                </c:pt>
                <c:pt idx="6">
                  <c:v>19</c:v>
                </c:pt>
              </c:numCache>
            </c:numRef>
          </c:val>
        </c:ser>
        <c:ser>
          <c:idx val="2"/>
          <c:order val="2"/>
          <c:tx>
            <c:v>1 point</c:v>
          </c:tx>
          <c:invertIfNegative val="0"/>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Analysis!$Q$4:$Q$10</c:f>
              <c:numCache>
                <c:formatCode>General</c:formatCode>
                <c:ptCount val="7"/>
                <c:pt idx="0">
                  <c:v>7</c:v>
                </c:pt>
                <c:pt idx="1">
                  <c:v>36</c:v>
                </c:pt>
                <c:pt idx="2">
                  <c:v>6</c:v>
                </c:pt>
                <c:pt idx="3">
                  <c:v>4</c:v>
                </c:pt>
                <c:pt idx="4">
                  <c:v>26</c:v>
                </c:pt>
                <c:pt idx="5">
                  <c:v>6</c:v>
                </c:pt>
                <c:pt idx="6">
                  <c:v>3</c:v>
                </c:pt>
              </c:numCache>
            </c:numRef>
          </c:val>
        </c:ser>
        <c:ser>
          <c:idx val="3"/>
          <c:order val="3"/>
          <c:tx>
            <c:v>1.5 points</c:v>
          </c:tx>
          <c:invertIfNegative val="0"/>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Analysis!$R$4:$R$10</c:f>
              <c:numCache>
                <c:formatCode>General</c:formatCode>
                <c:ptCount val="7"/>
                <c:pt idx="0">
                  <c:v>0</c:v>
                </c:pt>
                <c:pt idx="1">
                  <c:v>12</c:v>
                </c:pt>
                <c:pt idx="2">
                  <c:v>3</c:v>
                </c:pt>
                <c:pt idx="3">
                  <c:v>2</c:v>
                </c:pt>
                <c:pt idx="4">
                  <c:v>8</c:v>
                </c:pt>
                <c:pt idx="5">
                  <c:v>3</c:v>
                </c:pt>
                <c:pt idx="6">
                  <c:v>0</c:v>
                </c:pt>
              </c:numCache>
            </c:numRef>
          </c:val>
        </c:ser>
        <c:ser>
          <c:idx val="4"/>
          <c:order val="4"/>
          <c:tx>
            <c:v>2 points</c:v>
          </c:tx>
          <c:invertIfNegative val="0"/>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Analysis!$S$4:$S$10</c:f>
              <c:numCache>
                <c:formatCode>General</c:formatCode>
                <c:ptCount val="7"/>
                <c:pt idx="0">
                  <c:v>1</c:v>
                </c:pt>
                <c:pt idx="1">
                  <c:v>12</c:v>
                </c:pt>
                <c:pt idx="2">
                  <c:v>0</c:v>
                </c:pt>
                <c:pt idx="3">
                  <c:v>0</c:v>
                </c:pt>
                <c:pt idx="4">
                  <c:v>2</c:v>
                </c:pt>
                <c:pt idx="5">
                  <c:v>0</c:v>
                </c:pt>
                <c:pt idx="6">
                  <c:v>0</c:v>
                </c:pt>
              </c:numCache>
            </c:numRef>
          </c:val>
        </c:ser>
        <c:ser>
          <c:idx val="5"/>
          <c:order val="5"/>
          <c:tx>
            <c:v>2.5 points</c:v>
          </c:tx>
          <c:invertIfNegative val="0"/>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Analysis!$T$4:$T$10</c:f>
              <c:numCache>
                <c:formatCode>General</c:formatCode>
                <c:ptCount val="7"/>
                <c:pt idx="0">
                  <c:v>0</c:v>
                </c:pt>
                <c:pt idx="1">
                  <c:v>1</c:v>
                </c:pt>
                <c:pt idx="2">
                  <c:v>0</c:v>
                </c:pt>
                <c:pt idx="3">
                  <c:v>0</c:v>
                </c:pt>
                <c:pt idx="4">
                  <c:v>2</c:v>
                </c:pt>
                <c:pt idx="5">
                  <c:v>0</c:v>
                </c:pt>
                <c:pt idx="6">
                  <c:v>0</c:v>
                </c:pt>
              </c:numCache>
            </c:numRef>
          </c:val>
        </c:ser>
        <c:ser>
          <c:idx val="6"/>
          <c:order val="6"/>
          <c:tx>
            <c:v>3 points</c:v>
          </c:tx>
          <c:invertIfNegative val="0"/>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Analysis!$U$4:$U$10</c:f>
              <c:numCache>
                <c:formatCode>General</c:formatCode>
                <c:ptCount val="7"/>
                <c:pt idx="0">
                  <c:v>0</c:v>
                </c:pt>
                <c:pt idx="1">
                  <c:v>0</c:v>
                </c:pt>
                <c:pt idx="2">
                  <c:v>0</c:v>
                </c:pt>
                <c:pt idx="3">
                  <c:v>0</c:v>
                </c:pt>
                <c:pt idx="4">
                  <c:v>0</c:v>
                </c:pt>
                <c:pt idx="5">
                  <c:v>1</c:v>
                </c:pt>
                <c:pt idx="6">
                  <c:v>0</c:v>
                </c:pt>
              </c:numCache>
            </c:numRef>
          </c:val>
        </c:ser>
        <c:dLbls>
          <c:showLegendKey val="0"/>
          <c:showVal val="0"/>
          <c:showCatName val="0"/>
          <c:showSerName val="0"/>
          <c:showPercent val="0"/>
          <c:showBubbleSize val="0"/>
        </c:dLbls>
        <c:gapWidth val="150"/>
        <c:overlap val="100"/>
        <c:axId val="150754048"/>
        <c:axId val="150755584"/>
      </c:barChart>
      <c:lineChart>
        <c:grouping val="standard"/>
        <c:varyColors val="0"/>
        <c:ser>
          <c:idx val="8"/>
          <c:order val="8"/>
          <c:tx>
            <c:v>total</c:v>
          </c:tx>
          <c:spPr>
            <a:ln>
              <a:noFill/>
            </a:ln>
          </c:spPr>
          <c:marker>
            <c:symbol val="none"/>
          </c:marker>
          <c:dLbls>
            <c:spPr>
              <a:noFill/>
              <a:ln>
                <a:noFill/>
              </a:ln>
            </c:spPr>
            <c:txPr>
              <a:bodyPr/>
              <a:lstStyle/>
              <a:p>
                <a:pPr>
                  <a:defRPr b="1"/>
                </a:pPr>
                <a:endParaRPr lang="en-US"/>
              </a:p>
            </c:txPr>
            <c:dLblPos val="t"/>
            <c:showLegendKey val="0"/>
            <c:showVal val="1"/>
            <c:showCatName val="0"/>
            <c:showSerName val="0"/>
            <c:showPercent val="0"/>
            <c:showBubbleSize val="0"/>
            <c:showLeaderLines val="0"/>
          </c:dLbls>
          <c:val>
            <c:numRef>
              <c:f>Analysis!$N$4:$N$10</c:f>
              <c:numCache>
                <c:formatCode>General</c:formatCode>
                <c:ptCount val="7"/>
                <c:pt idx="0">
                  <c:v>26</c:v>
                </c:pt>
                <c:pt idx="1">
                  <c:v>123</c:v>
                </c:pt>
                <c:pt idx="2">
                  <c:v>35</c:v>
                </c:pt>
                <c:pt idx="3">
                  <c:v>24</c:v>
                </c:pt>
                <c:pt idx="4">
                  <c:v>60</c:v>
                </c:pt>
                <c:pt idx="5">
                  <c:v>21</c:v>
                </c:pt>
                <c:pt idx="6">
                  <c:v>35</c:v>
                </c:pt>
              </c:numCache>
            </c:numRef>
          </c:val>
          <c:smooth val="0"/>
        </c:ser>
        <c:dLbls>
          <c:showLegendKey val="0"/>
          <c:showVal val="0"/>
          <c:showCatName val="0"/>
          <c:showSerName val="0"/>
          <c:showPercent val="0"/>
          <c:showBubbleSize val="0"/>
        </c:dLbls>
        <c:marker val="1"/>
        <c:smooth val="0"/>
        <c:axId val="150754048"/>
        <c:axId val="150755584"/>
      </c:lineChart>
      <c:lineChart>
        <c:grouping val="standard"/>
        <c:varyColors val="0"/>
        <c:ser>
          <c:idx val="7"/>
          <c:order val="7"/>
          <c:tx>
            <c:v>Percent of records scoring &gt;0</c:v>
          </c:tx>
          <c:marker>
            <c:symbol val="none"/>
          </c:marker>
          <c:dLbls>
            <c:showLegendKey val="0"/>
            <c:showVal val="1"/>
            <c:showCatName val="0"/>
            <c:showSerName val="0"/>
            <c:showPercent val="0"/>
            <c:showBubbleSize val="0"/>
            <c:showLeaderLines val="0"/>
          </c:dLbls>
          <c:cat>
            <c:numRef>
              <c:f>Analysis!$M$4:$M$10</c:f>
              <c:numCache>
                <c:formatCode>General</c:formatCode>
                <c:ptCount val="7"/>
                <c:pt idx="0">
                  <c:v>2006</c:v>
                </c:pt>
                <c:pt idx="1">
                  <c:v>2007</c:v>
                </c:pt>
                <c:pt idx="2">
                  <c:v>2008</c:v>
                </c:pt>
                <c:pt idx="3">
                  <c:v>2009</c:v>
                </c:pt>
                <c:pt idx="4">
                  <c:v>2010</c:v>
                </c:pt>
                <c:pt idx="5">
                  <c:v>2011</c:v>
                </c:pt>
                <c:pt idx="6">
                  <c:v>2012</c:v>
                </c:pt>
              </c:numCache>
            </c:numRef>
          </c:cat>
          <c:val>
            <c:numRef>
              <c:f>Analysis!$V$4:$V$10</c:f>
              <c:numCache>
                <c:formatCode>0.0%</c:formatCode>
                <c:ptCount val="7"/>
                <c:pt idx="0">
                  <c:v>0.92307692307692313</c:v>
                </c:pt>
                <c:pt idx="1">
                  <c:v>0.82113821138211385</c:v>
                </c:pt>
                <c:pt idx="2">
                  <c:v>0.74285714285714288</c:v>
                </c:pt>
                <c:pt idx="3">
                  <c:v>0.58333333333333337</c:v>
                </c:pt>
                <c:pt idx="4">
                  <c:v>0.9</c:v>
                </c:pt>
                <c:pt idx="5">
                  <c:v>0.80952380952380953</c:v>
                </c:pt>
                <c:pt idx="6">
                  <c:v>0.62857142857142856</c:v>
                </c:pt>
              </c:numCache>
            </c:numRef>
          </c:val>
          <c:smooth val="0"/>
        </c:ser>
        <c:dLbls>
          <c:showLegendKey val="0"/>
          <c:showVal val="0"/>
          <c:showCatName val="0"/>
          <c:showSerName val="0"/>
          <c:showPercent val="0"/>
          <c:showBubbleSize val="0"/>
        </c:dLbls>
        <c:marker val="1"/>
        <c:smooth val="0"/>
        <c:axId val="150784256"/>
        <c:axId val="150782336"/>
      </c:lineChart>
      <c:catAx>
        <c:axId val="150754048"/>
        <c:scaling>
          <c:orientation val="minMax"/>
        </c:scaling>
        <c:delete val="0"/>
        <c:axPos val="b"/>
        <c:numFmt formatCode="General" sourceLinked="1"/>
        <c:majorTickMark val="out"/>
        <c:minorTickMark val="none"/>
        <c:tickLblPos val="nextTo"/>
        <c:crossAx val="150755584"/>
        <c:crosses val="autoZero"/>
        <c:auto val="1"/>
        <c:lblAlgn val="ctr"/>
        <c:lblOffset val="100"/>
        <c:noMultiLvlLbl val="0"/>
      </c:catAx>
      <c:valAx>
        <c:axId val="150755584"/>
        <c:scaling>
          <c:orientation val="minMax"/>
        </c:scaling>
        <c:delete val="0"/>
        <c:axPos val="l"/>
        <c:majorGridlines/>
        <c:title>
          <c:tx>
            <c:rich>
              <a:bodyPr rot="-5400000" vert="horz"/>
              <a:lstStyle/>
              <a:p>
                <a:pPr>
                  <a:defRPr/>
                </a:pPr>
                <a:r>
                  <a:rPr lang="en-US"/>
                  <a:t>Number of Records</a:t>
                </a:r>
              </a:p>
            </c:rich>
          </c:tx>
          <c:overlay val="0"/>
        </c:title>
        <c:numFmt formatCode="General" sourceLinked="1"/>
        <c:majorTickMark val="out"/>
        <c:minorTickMark val="none"/>
        <c:tickLblPos val="nextTo"/>
        <c:crossAx val="150754048"/>
        <c:crosses val="autoZero"/>
        <c:crossBetween val="between"/>
      </c:valAx>
      <c:valAx>
        <c:axId val="150782336"/>
        <c:scaling>
          <c:orientation val="minMax"/>
        </c:scaling>
        <c:delete val="0"/>
        <c:axPos val="r"/>
        <c:title>
          <c:tx>
            <c:rich>
              <a:bodyPr rot="-5400000" vert="horz"/>
              <a:lstStyle/>
              <a:p>
                <a:pPr>
                  <a:defRPr/>
                </a:pPr>
                <a:r>
                  <a:rPr lang="en-US"/>
                  <a:t>Perent of Records Scoring &gt;0</a:t>
                </a:r>
              </a:p>
            </c:rich>
          </c:tx>
          <c:overlay val="0"/>
        </c:title>
        <c:numFmt formatCode="0.0%" sourceLinked="1"/>
        <c:majorTickMark val="out"/>
        <c:minorTickMark val="none"/>
        <c:tickLblPos val="nextTo"/>
        <c:crossAx val="150784256"/>
        <c:crosses val="max"/>
        <c:crossBetween val="between"/>
      </c:valAx>
      <c:catAx>
        <c:axId val="150784256"/>
        <c:scaling>
          <c:orientation val="minMax"/>
        </c:scaling>
        <c:delete val="1"/>
        <c:axPos val="b"/>
        <c:numFmt formatCode="General" sourceLinked="1"/>
        <c:majorTickMark val="out"/>
        <c:minorTickMark val="none"/>
        <c:tickLblPos val="none"/>
        <c:crossAx val="150782336"/>
        <c:crosses val="autoZero"/>
        <c:auto val="1"/>
        <c:lblAlgn val="ctr"/>
        <c:lblOffset val="100"/>
        <c:noMultiLvlLbl val="0"/>
      </c:catAx>
    </c:plotArea>
    <c:legend>
      <c:legendPos val="r"/>
      <c:legendEntry>
        <c:idx val="7"/>
        <c:delete val="1"/>
      </c:legendEntry>
      <c:overlay val="0"/>
    </c:legend>
    <c:plotVisOnly val="1"/>
    <c:dispBlanksAs val="gap"/>
    <c:showDLblsOverMax val="0"/>
  </c:char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Records by Total Sustainability Score</a:t>
            </a:r>
          </a:p>
        </c:rich>
      </c:tx>
      <c:overlay val="0"/>
    </c:title>
    <c:autoTitleDeleted val="0"/>
    <c:plotArea>
      <c:layout/>
      <c:pieChart>
        <c:varyColors val="1"/>
        <c:ser>
          <c:idx val="0"/>
          <c:order val="0"/>
          <c:tx>
            <c:v>Score</c:v>
          </c:tx>
          <c:dLbls>
            <c:numFmt formatCode="0.0%" sourceLinked="0"/>
            <c:showLegendKey val="0"/>
            <c:showVal val="0"/>
            <c:showCatName val="0"/>
            <c:showSerName val="0"/>
            <c:showPercent val="1"/>
            <c:showBubbleSize val="0"/>
            <c:showLeaderLines val="1"/>
          </c:dLbls>
          <c:cat>
            <c:strRef>
              <c:f>Analysis!$AN$3:$AN$9</c:f>
              <c:strCache>
                <c:ptCount val="7"/>
                <c:pt idx="0">
                  <c:v>0 points</c:v>
                </c:pt>
                <c:pt idx="1">
                  <c:v>0.5 points</c:v>
                </c:pt>
                <c:pt idx="2">
                  <c:v>1 point</c:v>
                </c:pt>
                <c:pt idx="3">
                  <c:v>1.5 points</c:v>
                </c:pt>
                <c:pt idx="4">
                  <c:v>2 points</c:v>
                </c:pt>
                <c:pt idx="5">
                  <c:v>2.5 points</c:v>
                </c:pt>
                <c:pt idx="6">
                  <c:v>3 points</c:v>
                </c:pt>
              </c:strCache>
            </c:strRef>
          </c:cat>
          <c:val>
            <c:numRef>
              <c:f>Analysis!$AO$3:$AO$9</c:f>
              <c:numCache>
                <c:formatCode>General</c:formatCode>
                <c:ptCount val="7"/>
                <c:pt idx="0">
                  <c:v>67</c:v>
                </c:pt>
                <c:pt idx="1">
                  <c:v>123</c:v>
                </c:pt>
                <c:pt idx="2">
                  <c:v>88</c:v>
                </c:pt>
                <c:pt idx="3">
                  <c:v>28</c:v>
                </c:pt>
                <c:pt idx="4">
                  <c:v>15</c:v>
                </c:pt>
                <c:pt idx="5">
                  <c:v>3</c:v>
                </c:pt>
                <c:pt idx="6">
                  <c:v>1</c:v>
                </c:pt>
              </c:numCache>
            </c:numRef>
          </c:val>
        </c:ser>
        <c:dLbls>
          <c:showLegendKey val="0"/>
          <c:showVal val="0"/>
          <c:showCatName val="0"/>
          <c:showSerName val="0"/>
          <c:showPercent val="0"/>
          <c:showBubbleSize val="0"/>
          <c:showLeaderLines val="1"/>
        </c:dLbls>
        <c:firstSliceAng val="0"/>
      </c:pieChart>
    </c:plotArea>
    <c:legend>
      <c:legendPos val="r"/>
      <c:overlay val="0"/>
      <c:txPr>
        <a:bodyPr/>
        <a:lstStyle/>
        <a:p>
          <a:pPr rtl="0">
            <a:defRPr/>
          </a:pPr>
          <a:endParaRPr lang="en-US"/>
        </a:p>
      </c:txPr>
    </c:legend>
    <c:plotVisOnly val="1"/>
    <c:dispBlanksAs val="zero"/>
    <c:showDLblsOverMax val="0"/>
  </c:chart>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Categories addressed by Records Scoring 0.5</a:t>
            </a:r>
            <a:r>
              <a:rPr lang="en-US"/>
              <a:t/>
            </a:r>
            <a:br>
              <a:rPr lang="en-US"/>
            </a:br>
            <a:r>
              <a:rPr lang="en-US" sz="1200" b="0"/>
              <a:t>123 Records</a:t>
            </a:r>
          </a:p>
        </c:rich>
      </c:tx>
      <c:overlay val="0"/>
    </c:title>
    <c:autoTitleDeleted val="0"/>
    <c:plotArea>
      <c:layout/>
      <c:barChart>
        <c:barDir val="col"/>
        <c:grouping val="clustered"/>
        <c:varyColors val="0"/>
        <c:ser>
          <c:idx val="0"/>
          <c:order val="0"/>
          <c:tx>
            <c:v>0.5</c:v>
          </c:tx>
          <c:invertIfNegative val="0"/>
          <c:dLbls>
            <c:numFmt formatCode="#,##0" sourceLinked="0"/>
            <c:showLegendKey val="0"/>
            <c:showVal val="1"/>
            <c:showCatName val="0"/>
            <c:showSerName val="0"/>
            <c:showPercent val="0"/>
            <c:showBubbleSize val="0"/>
            <c:showLeaderLines val="0"/>
          </c:dLbls>
          <c:cat>
            <c:strRef>
              <c:f>Analysis!$AP$1:$AT$1</c:f>
              <c:strCache>
                <c:ptCount val="5"/>
                <c:pt idx="0">
                  <c:v>Environment</c:v>
                </c:pt>
                <c:pt idx="2">
                  <c:v>Economy</c:v>
                </c:pt>
                <c:pt idx="4">
                  <c:v>Equity</c:v>
                </c:pt>
              </c:strCache>
            </c:strRef>
          </c:cat>
          <c:val>
            <c:numRef>
              <c:f>Analysis!$AP$4:$AT$4</c:f>
              <c:numCache>
                <c:formatCode>General</c:formatCode>
                <c:ptCount val="5"/>
                <c:pt idx="0">
                  <c:v>16</c:v>
                </c:pt>
                <c:pt idx="1">
                  <c:v>0</c:v>
                </c:pt>
                <c:pt idx="2">
                  <c:v>34</c:v>
                </c:pt>
                <c:pt idx="3">
                  <c:v>0</c:v>
                </c:pt>
                <c:pt idx="4">
                  <c:v>73</c:v>
                </c:pt>
              </c:numCache>
            </c:numRef>
          </c:val>
        </c:ser>
        <c:dLbls>
          <c:showLegendKey val="0"/>
          <c:showVal val="0"/>
          <c:showCatName val="0"/>
          <c:showSerName val="0"/>
          <c:showPercent val="0"/>
          <c:showBubbleSize val="0"/>
        </c:dLbls>
        <c:gapWidth val="150"/>
        <c:axId val="150371712"/>
        <c:axId val="150480000"/>
      </c:barChart>
      <c:catAx>
        <c:axId val="150371712"/>
        <c:scaling>
          <c:orientation val="minMax"/>
        </c:scaling>
        <c:delete val="0"/>
        <c:axPos val="b"/>
        <c:majorTickMark val="out"/>
        <c:minorTickMark val="none"/>
        <c:tickLblPos val="nextTo"/>
        <c:crossAx val="150480000"/>
        <c:crosses val="autoZero"/>
        <c:auto val="1"/>
        <c:lblAlgn val="ctr"/>
        <c:lblOffset val="100"/>
        <c:noMultiLvlLbl val="0"/>
      </c:catAx>
      <c:valAx>
        <c:axId val="150480000"/>
        <c:scaling>
          <c:orientation val="minMax"/>
        </c:scaling>
        <c:delete val="0"/>
        <c:axPos val="l"/>
        <c:majorGridlines/>
        <c:numFmt formatCode="General" sourceLinked="1"/>
        <c:majorTickMark val="out"/>
        <c:minorTickMark val="none"/>
        <c:tickLblPos val="nextTo"/>
        <c:crossAx val="150371712"/>
        <c:crosses val="autoZero"/>
        <c:crossBetween val="between"/>
      </c:valAx>
    </c:plotArea>
    <c:plotVisOnly val="1"/>
    <c:dispBlanksAs val="gap"/>
    <c:showDLblsOverMax val="0"/>
  </c:chart>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Categories addressed by Records Scoring 1</a:t>
            </a:r>
            <a:r>
              <a:rPr lang="en-US"/>
              <a:t/>
            </a:r>
            <a:br>
              <a:rPr lang="en-US"/>
            </a:br>
            <a:r>
              <a:rPr lang="en-US" sz="1200" b="0"/>
              <a:t>88 Records</a:t>
            </a:r>
          </a:p>
        </c:rich>
      </c:tx>
      <c:overlay val="0"/>
    </c:title>
    <c:autoTitleDeleted val="0"/>
    <c:plotArea>
      <c:layout/>
      <c:barChart>
        <c:barDir val="col"/>
        <c:grouping val="stacked"/>
        <c:varyColors val="0"/>
        <c:ser>
          <c:idx val="0"/>
          <c:order val="0"/>
          <c:tx>
            <c:v>0.5</c:v>
          </c:tx>
          <c:invertIfNegative val="0"/>
          <c:dLbls>
            <c:showLegendKey val="0"/>
            <c:showVal val="1"/>
            <c:showCatName val="0"/>
            <c:showSerName val="0"/>
            <c:showPercent val="0"/>
            <c:showBubbleSize val="0"/>
            <c:showLeaderLines val="0"/>
          </c:dLbls>
          <c:cat>
            <c:strRef>
              <c:f>(Analysis!$AP$1,Analysis!$AR$1,Analysis!$AT$1)</c:f>
              <c:strCache>
                <c:ptCount val="3"/>
                <c:pt idx="0">
                  <c:v>Environment</c:v>
                </c:pt>
                <c:pt idx="1">
                  <c:v>Economy</c:v>
                </c:pt>
                <c:pt idx="2">
                  <c:v>Equity</c:v>
                </c:pt>
              </c:strCache>
            </c:strRef>
          </c:cat>
          <c:val>
            <c:numRef>
              <c:f>(Analysis!$AP$5,Analysis!$AR$5,Analysis!$AT$5)</c:f>
              <c:numCache>
                <c:formatCode>General</c:formatCode>
                <c:ptCount val="3"/>
                <c:pt idx="0">
                  <c:v>27</c:v>
                </c:pt>
                <c:pt idx="1">
                  <c:v>54</c:v>
                </c:pt>
                <c:pt idx="2">
                  <c:v>53</c:v>
                </c:pt>
              </c:numCache>
            </c:numRef>
          </c:val>
        </c:ser>
        <c:ser>
          <c:idx val="1"/>
          <c:order val="1"/>
          <c:tx>
            <c:v>1</c:v>
          </c:tx>
          <c:invertIfNegative val="0"/>
          <c:dLbls>
            <c:showLegendKey val="0"/>
            <c:showVal val="1"/>
            <c:showCatName val="0"/>
            <c:showSerName val="0"/>
            <c:showPercent val="0"/>
            <c:showBubbleSize val="0"/>
            <c:showLeaderLines val="0"/>
          </c:dLbls>
          <c:cat>
            <c:strRef>
              <c:f>(Analysis!$AP$1,Analysis!$AR$1,Analysis!$AT$1)</c:f>
              <c:strCache>
                <c:ptCount val="3"/>
                <c:pt idx="0">
                  <c:v>Environment</c:v>
                </c:pt>
                <c:pt idx="1">
                  <c:v>Economy</c:v>
                </c:pt>
                <c:pt idx="2">
                  <c:v>Equity</c:v>
                </c:pt>
              </c:strCache>
            </c:strRef>
          </c:cat>
          <c:val>
            <c:numRef>
              <c:f>(Analysis!$AQ$5,Analysis!$AS$5,Analysis!$AU$5)</c:f>
              <c:numCache>
                <c:formatCode>General</c:formatCode>
                <c:ptCount val="3"/>
                <c:pt idx="0">
                  <c:v>14</c:v>
                </c:pt>
                <c:pt idx="1">
                  <c:v>1</c:v>
                </c:pt>
                <c:pt idx="2">
                  <c:v>6</c:v>
                </c:pt>
              </c:numCache>
            </c:numRef>
          </c:val>
        </c:ser>
        <c:dLbls>
          <c:showLegendKey val="0"/>
          <c:showVal val="0"/>
          <c:showCatName val="0"/>
          <c:showSerName val="0"/>
          <c:showPercent val="0"/>
          <c:showBubbleSize val="0"/>
        </c:dLbls>
        <c:gapWidth val="150"/>
        <c:overlap val="100"/>
        <c:axId val="150502016"/>
        <c:axId val="150540672"/>
      </c:barChart>
      <c:catAx>
        <c:axId val="150502016"/>
        <c:scaling>
          <c:orientation val="minMax"/>
        </c:scaling>
        <c:delete val="0"/>
        <c:axPos val="b"/>
        <c:majorTickMark val="out"/>
        <c:minorTickMark val="none"/>
        <c:tickLblPos val="nextTo"/>
        <c:crossAx val="150540672"/>
        <c:crosses val="autoZero"/>
        <c:auto val="1"/>
        <c:lblAlgn val="ctr"/>
        <c:lblOffset val="100"/>
        <c:noMultiLvlLbl val="0"/>
      </c:catAx>
      <c:valAx>
        <c:axId val="150540672"/>
        <c:scaling>
          <c:orientation val="minMax"/>
        </c:scaling>
        <c:delete val="0"/>
        <c:axPos val="l"/>
        <c:majorGridlines/>
        <c:numFmt formatCode="General" sourceLinked="1"/>
        <c:majorTickMark val="out"/>
        <c:minorTickMark val="none"/>
        <c:tickLblPos val="nextTo"/>
        <c:crossAx val="150502016"/>
        <c:crosses val="autoZero"/>
        <c:crossBetween val="between"/>
      </c:valAx>
    </c:plotArea>
    <c:legend>
      <c:legendPos val="r"/>
      <c:overlay val="0"/>
    </c:legend>
    <c:plotVisOnly val="1"/>
    <c:dispBlanksAs val="gap"/>
    <c:showDLblsOverMax val="0"/>
  </c:chart>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Categories addressed by Records Scoring 1.5</a:t>
            </a:r>
            <a:r>
              <a:rPr lang="en-US"/>
              <a:t/>
            </a:r>
            <a:br>
              <a:rPr lang="en-US"/>
            </a:br>
            <a:r>
              <a:rPr lang="en-US" sz="1200" b="0"/>
              <a:t>28 Records</a:t>
            </a:r>
          </a:p>
        </c:rich>
      </c:tx>
      <c:overlay val="0"/>
    </c:title>
    <c:autoTitleDeleted val="0"/>
    <c:plotArea>
      <c:layout/>
      <c:barChart>
        <c:barDir val="col"/>
        <c:grouping val="stacked"/>
        <c:varyColors val="0"/>
        <c:ser>
          <c:idx val="0"/>
          <c:order val="0"/>
          <c:tx>
            <c:v>0.5</c:v>
          </c:tx>
          <c:invertIfNegative val="0"/>
          <c:dLbls>
            <c:showLegendKey val="0"/>
            <c:showVal val="1"/>
            <c:showCatName val="0"/>
            <c:showSerName val="0"/>
            <c:showPercent val="0"/>
            <c:showBubbleSize val="0"/>
            <c:showLeaderLines val="0"/>
          </c:dLbls>
          <c:cat>
            <c:strRef>
              <c:f>(Analysis!$AP$1,Analysis!$AR$1,Analysis!$AT$1)</c:f>
              <c:strCache>
                <c:ptCount val="3"/>
                <c:pt idx="0">
                  <c:v>Environment</c:v>
                </c:pt>
                <c:pt idx="1">
                  <c:v>Economy</c:v>
                </c:pt>
                <c:pt idx="2">
                  <c:v>Equity</c:v>
                </c:pt>
              </c:strCache>
            </c:strRef>
          </c:cat>
          <c:val>
            <c:numRef>
              <c:f>(Analysis!$AP$6,Analysis!$AR$6,Analysis!$AT$6)</c:f>
              <c:numCache>
                <c:formatCode>General</c:formatCode>
                <c:ptCount val="3"/>
                <c:pt idx="0">
                  <c:v>17</c:v>
                </c:pt>
                <c:pt idx="1">
                  <c:v>23</c:v>
                </c:pt>
                <c:pt idx="2">
                  <c:v>20</c:v>
                </c:pt>
              </c:numCache>
            </c:numRef>
          </c:val>
        </c:ser>
        <c:ser>
          <c:idx val="1"/>
          <c:order val="1"/>
          <c:tx>
            <c:v>1</c:v>
          </c:tx>
          <c:invertIfNegative val="0"/>
          <c:dLbls>
            <c:showLegendKey val="0"/>
            <c:showVal val="1"/>
            <c:showCatName val="0"/>
            <c:showSerName val="0"/>
            <c:showPercent val="0"/>
            <c:showBubbleSize val="0"/>
            <c:showLeaderLines val="0"/>
          </c:dLbls>
          <c:cat>
            <c:strRef>
              <c:f>(Analysis!$AP$1,Analysis!$AR$1,Analysis!$AT$1)</c:f>
              <c:strCache>
                <c:ptCount val="3"/>
                <c:pt idx="0">
                  <c:v>Environment</c:v>
                </c:pt>
                <c:pt idx="1">
                  <c:v>Economy</c:v>
                </c:pt>
                <c:pt idx="2">
                  <c:v>Equity</c:v>
                </c:pt>
              </c:strCache>
            </c:strRef>
          </c:cat>
          <c:val>
            <c:numRef>
              <c:f>(Analysis!$AQ$6,Analysis!$AS$6,Analysis!$AU$6)</c:f>
              <c:numCache>
                <c:formatCode>General</c:formatCode>
                <c:ptCount val="3"/>
                <c:pt idx="0">
                  <c:v>4</c:v>
                </c:pt>
                <c:pt idx="1">
                  <c:v>2</c:v>
                </c:pt>
                <c:pt idx="2">
                  <c:v>6</c:v>
                </c:pt>
              </c:numCache>
            </c:numRef>
          </c:val>
        </c:ser>
        <c:dLbls>
          <c:showLegendKey val="0"/>
          <c:showVal val="0"/>
          <c:showCatName val="0"/>
          <c:showSerName val="0"/>
          <c:showPercent val="0"/>
          <c:showBubbleSize val="0"/>
        </c:dLbls>
        <c:gapWidth val="150"/>
        <c:overlap val="100"/>
        <c:axId val="150809216"/>
        <c:axId val="150819200"/>
      </c:barChart>
      <c:catAx>
        <c:axId val="150809216"/>
        <c:scaling>
          <c:orientation val="minMax"/>
        </c:scaling>
        <c:delete val="0"/>
        <c:axPos val="b"/>
        <c:majorTickMark val="out"/>
        <c:minorTickMark val="none"/>
        <c:tickLblPos val="nextTo"/>
        <c:crossAx val="150819200"/>
        <c:crosses val="autoZero"/>
        <c:auto val="1"/>
        <c:lblAlgn val="ctr"/>
        <c:lblOffset val="100"/>
        <c:noMultiLvlLbl val="0"/>
      </c:catAx>
      <c:valAx>
        <c:axId val="150819200"/>
        <c:scaling>
          <c:orientation val="minMax"/>
        </c:scaling>
        <c:delete val="0"/>
        <c:axPos val="l"/>
        <c:majorGridlines/>
        <c:numFmt formatCode="General" sourceLinked="1"/>
        <c:majorTickMark val="out"/>
        <c:minorTickMark val="none"/>
        <c:tickLblPos val="nextTo"/>
        <c:crossAx val="150809216"/>
        <c:crosses val="autoZero"/>
        <c:crossBetween val="between"/>
      </c:valAx>
    </c:plotArea>
    <c:legend>
      <c:legendPos val="r"/>
      <c:overlay val="0"/>
    </c:legend>
    <c:plotVisOnly val="1"/>
    <c:dispBlanksAs val="gap"/>
    <c:showDLblsOverMax val="0"/>
  </c:chart>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Categories addressed by Records Scoring 2</a:t>
            </a:r>
            <a:r>
              <a:rPr lang="en-US"/>
              <a:t/>
            </a:r>
            <a:br>
              <a:rPr lang="en-US"/>
            </a:br>
            <a:r>
              <a:rPr lang="en-US" sz="1200" b="0"/>
              <a:t>15 Records</a:t>
            </a:r>
          </a:p>
        </c:rich>
      </c:tx>
      <c:overlay val="0"/>
    </c:title>
    <c:autoTitleDeleted val="0"/>
    <c:plotArea>
      <c:layout/>
      <c:barChart>
        <c:barDir val="col"/>
        <c:grouping val="stacked"/>
        <c:varyColors val="0"/>
        <c:ser>
          <c:idx val="0"/>
          <c:order val="0"/>
          <c:tx>
            <c:v>0.5</c:v>
          </c:tx>
          <c:invertIfNegative val="0"/>
          <c:dLbls>
            <c:numFmt formatCode="#,##0" sourceLinked="0"/>
            <c:showLegendKey val="0"/>
            <c:showVal val="1"/>
            <c:showCatName val="0"/>
            <c:showSerName val="0"/>
            <c:showPercent val="0"/>
            <c:showBubbleSize val="0"/>
            <c:showLeaderLines val="0"/>
          </c:dLbls>
          <c:cat>
            <c:strRef>
              <c:f>(Analysis!$AP$1,Analysis!$AR$1,Analysis!$AT$1)</c:f>
              <c:strCache>
                <c:ptCount val="3"/>
                <c:pt idx="0">
                  <c:v>Environment</c:v>
                </c:pt>
                <c:pt idx="1">
                  <c:v>Economy</c:v>
                </c:pt>
                <c:pt idx="2">
                  <c:v>Equity</c:v>
                </c:pt>
              </c:strCache>
            </c:strRef>
          </c:cat>
          <c:val>
            <c:numRef>
              <c:f>(Analysis!$AP$7,Analysis!$AR$7,Analysis!$AT$7)</c:f>
              <c:numCache>
                <c:formatCode>General</c:formatCode>
                <c:ptCount val="3"/>
                <c:pt idx="0">
                  <c:v>8</c:v>
                </c:pt>
                <c:pt idx="1">
                  <c:v>8</c:v>
                </c:pt>
                <c:pt idx="2">
                  <c:v>8</c:v>
                </c:pt>
              </c:numCache>
            </c:numRef>
          </c:val>
        </c:ser>
        <c:ser>
          <c:idx val="1"/>
          <c:order val="1"/>
          <c:tx>
            <c:v>1</c:v>
          </c:tx>
          <c:invertIfNegative val="0"/>
          <c:cat>
            <c:strRef>
              <c:f>(Analysis!$AP$1,Analysis!$AR$1,Analysis!$AT$1)</c:f>
              <c:strCache>
                <c:ptCount val="3"/>
                <c:pt idx="0">
                  <c:v>Environment</c:v>
                </c:pt>
                <c:pt idx="1">
                  <c:v>Economy</c:v>
                </c:pt>
                <c:pt idx="2">
                  <c:v>Equity</c:v>
                </c:pt>
              </c:strCache>
            </c:strRef>
          </c:cat>
          <c:val>
            <c:numRef>
              <c:f>(Analysis!$AQ$7,Analysis!$AS$7,Analysis!$AU$7)</c:f>
              <c:numCache>
                <c:formatCode>General</c:formatCode>
                <c:ptCount val="3"/>
                <c:pt idx="0">
                  <c:v>6</c:v>
                </c:pt>
                <c:pt idx="1">
                  <c:v>5</c:v>
                </c:pt>
                <c:pt idx="2">
                  <c:v>7</c:v>
                </c:pt>
              </c:numCache>
            </c:numRef>
          </c:val>
        </c:ser>
        <c:dLbls>
          <c:showLegendKey val="0"/>
          <c:showVal val="0"/>
          <c:showCatName val="0"/>
          <c:showSerName val="0"/>
          <c:showPercent val="0"/>
          <c:showBubbleSize val="0"/>
        </c:dLbls>
        <c:gapWidth val="150"/>
        <c:overlap val="100"/>
        <c:axId val="150857984"/>
        <c:axId val="150872064"/>
      </c:barChart>
      <c:catAx>
        <c:axId val="150857984"/>
        <c:scaling>
          <c:orientation val="minMax"/>
        </c:scaling>
        <c:delete val="0"/>
        <c:axPos val="b"/>
        <c:majorTickMark val="out"/>
        <c:minorTickMark val="none"/>
        <c:tickLblPos val="nextTo"/>
        <c:crossAx val="150872064"/>
        <c:crosses val="autoZero"/>
        <c:auto val="1"/>
        <c:lblAlgn val="ctr"/>
        <c:lblOffset val="100"/>
        <c:noMultiLvlLbl val="0"/>
      </c:catAx>
      <c:valAx>
        <c:axId val="150872064"/>
        <c:scaling>
          <c:orientation val="minMax"/>
        </c:scaling>
        <c:delete val="0"/>
        <c:axPos val="l"/>
        <c:majorGridlines/>
        <c:numFmt formatCode="General" sourceLinked="1"/>
        <c:majorTickMark val="out"/>
        <c:minorTickMark val="none"/>
        <c:tickLblPos val="nextTo"/>
        <c:crossAx val="150857984"/>
        <c:crosses val="autoZero"/>
        <c:crossBetween val="between"/>
      </c:valAx>
    </c:plotArea>
    <c:legend>
      <c:legendPos val="r"/>
      <c:overlay val="0"/>
    </c:legend>
    <c:plotVisOnly val="1"/>
    <c:dispBlanksAs val="gap"/>
    <c:showDLblsOverMax val="0"/>
  </c:chart>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Categories addressed by Records Scoring 2.5</a:t>
            </a:r>
            <a:r>
              <a:rPr lang="en-US"/>
              <a:t/>
            </a:r>
            <a:br>
              <a:rPr lang="en-US"/>
            </a:br>
            <a:r>
              <a:rPr lang="en-US" sz="1200" b="0"/>
              <a:t>3 Records</a:t>
            </a:r>
          </a:p>
        </c:rich>
      </c:tx>
      <c:overlay val="0"/>
    </c:title>
    <c:autoTitleDeleted val="0"/>
    <c:plotArea>
      <c:layout/>
      <c:barChart>
        <c:barDir val="col"/>
        <c:grouping val="stacked"/>
        <c:varyColors val="0"/>
        <c:ser>
          <c:idx val="0"/>
          <c:order val="0"/>
          <c:tx>
            <c:v>0.5</c:v>
          </c:tx>
          <c:invertIfNegative val="0"/>
          <c:dLbls>
            <c:showLegendKey val="0"/>
            <c:showVal val="1"/>
            <c:showCatName val="0"/>
            <c:showSerName val="0"/>
            <c:showPercent val="0"/>
            <c:showBubbleSize val="0"/>
            <c:showLeaderLines val="0"/>
          </c:dLbls>
          <c:cat>
            <c:strRef>
              <c:f>(Analysis!$AP$1,Analysis!$AR$1,Analysis!$AT$1)</c:f>
              <c:strCache>
                <c:ptCount val="3"/>
                <c:pt idx="0">
                  <c:v>Environment</c:v>
                </c:pt>
                <c:pt idx="1">
                  <c:v>Economy</c:v>
                </c:pt>
                <c:pt idx="2">
                  <c:v>Equity</c:v>
                </c:pt>
              </c:strCache>
            </c:strRef>
          </c:cat>
          <c:val>
            <c:numRef>
              <c:f>(Analysis!$AP$8,Analysis!$AR$8,Analysis!$AT$8)</c:f>
              <c:numCache>
                <c:formatCode>General</c:formatCode>
                <c:ptCount val="3"/>
                <c:pt idx="0">
                  <c:v>1</c:v>
                </c:pt>
                <c:pt idx="1">
                  <c:v>0</c:v>
                </c:pt>
                <c:pt idx="2">
                  <c:v>2</c:v>
                </c:pt>
              </c:numCache>
            </c:numRef>
          </c:val>
        </c:ser>
        <c:ser>
          <c:idx val="1"/>
          <c:order val="1"/>
          <c:tx>
            <c:v>1</c:v>
          </c:tx>
          <c:invertIfNegative val="0"/>
          <c:dLbls>
            <c:showLegendKey val="0"/>
            <c:showVal val="1"/>
            <c:showCatName val="0"/>
            <c:showSerName val="0"/>
            <c:showPercent val="0"/>
            <c:showBubbleSize val="0"/>
            <c:showLeaderLines val="0"/>
          </c:dLbls>
          <c:val>
            <c:numRef>
              <c:f>(Analysis!$AQ$8,Analysis!$AS$8,Analysis!$AU$8)</c:f>
              <c:numCache>
                <c:formatCode>General</c:formatCode>
                <c:ptCount val="3"/>
                <c:pt idx="0">
                  <c:v>2</c:v>
                </c:pt>
                <c:pt idx="1">
                  <c:v>3</c:v>
                </c:pt>
                <c:pt idx="2">
                  <c:v>1</c:v>
                </c:pt>
              </c:numCache>
            </c:numRef>
          </c:val>
        </c:ser>
        <c:dLbls>
          <c:showLegendKey val="0"/>
          <c:showVal val="0"/>
          <c:showCatName val="0"/>
          <c:showSerName val="0"/>
          <c:showPercent val="0"/>
          <c:showBubbleSize val="0"/>
        </c:dLbls>
        <c:gapWidth val="150"/>
        <c:overlap val="100"/>
        <c:axId val="150935808"/>
        <c:axId val="150945792"/>
      </c:barChart>
      <c:catAx>
        <c:axId val="150935808"/>
        <c:scaling>
          <c:orientation val="minMax"/>
        </c:scaling>
        <c:delete val="0"/>
        <c:axPos val="b"/>
        <c:majorTickMark val="out"/>
        <c:minorTickMark val="none"/>
        <c:tickLblPos val="nextTo"/>
        <c:crossAx val="150945792"/>
        <c:crosses val="autoZero"/>
        <c:auto val="1"/>
        <c:lblAlgn val="ctr"/>
        <c:lblOffset val="100"/>
        <c:noMultiLvlLbl val="0"/>
      </c:catAx>
      <c:valAx>
        <c:axId val="150945792"/>
        <c:scaling>
          <c:orientation val="minMax"/>
        </c:scaling>
        <c:delete val="0"/>
        <c:axPos val="l"/>
        <c:majorGridlines/>
        <c:numFmt formatCode="General" sourceLinked="1"/>
        <c:majorTickMark val="out"/>
        <c:minorTickMark val="none"/>
        <c:tickLblPos val="nextTo"/>
        <c:crossAx val="150935808"/>
        <c:crosses val="autoZero"/>
        <c:crossBetween val="between"/>
      </c:valAx>
    </c:plotArea>
    <c:legend>
      <c:legendPos val="r"/>
      <c:overlay val="0"/>
    </c:legend>
    <c:plotVisOnly val="1"/>
    <c:dispBlanksAs val="gap"/>
    <c:showDLblsOverMax val="0"/>
  </c:chart>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400"/>
            </a:pPr>
            <a:r>
              <a:rPr lang="en-US" sz="2400"/>
              <a:t>Summary of Sustainability Categories Addressed by RNS Records (n=258)</a:t>
            </a:r>
          </a:p>
        </c:rich>
      </c:tx>
      <c:overlay val="0"/>
    </c:title>
    <c:autoTitleDeleted val="0"/>
    <c:plotArea>
      <c:layout>
        <c:manualLayout>
          <c:layoutTarget val="inner"/>
          <c:xMode val="edge"/>
          <c:yMode val="edge"/>
          <c:x val="8.6088332554185978E-2"/>
          <c:y val="0.1449151623224374"/>
          <c:w val="0.86654851812409961"/>
          <c:h val="0.76555692370510497"/>
        </c:manualLayout>
      </c:layout>
      <c:barChart>
        <c:barDir val="col"/>
        <c:grouping val="stacked"/>
        <c:varyColors val="0"/>
        <c:ser>
          <c:idx val="0"/>
          <c:order val="0"/>
          <c:tx>
            <c:v>0.5 points</c:v>
          </c:tx>
          <c:invertIfNegative val="0"/>
          <c:dLbls>
            <c:txPr>
              <a:bodyPr/>
              <a:lstStyle/>
              <a:p>
                <a:pPr>
                  <a:defRPr sz="1800" b="1"/>
                </a:pPr>
                <a:endParaRPr lang="en-US"/>
              </a:p>
            </c:txPr>
            <c:showLegendKey val="0"/>
            <c:showVal val="1"/>
            <c:showCatName val="0"/>
            <c:showSerName val="0"/>
            <c:showPercent val="0"/>
            <c:showBubbleSize val="0"/>
            <c:showLeaderLines val="0"/>
          </c:dLbls>
          <c:cat>
            <c:strRef>
              <c:f>Analysis!$AH$3:$AH$5</c:f>
              <c:strCache>
                <c:ptCount val="3"/>
                <c:pt idx="0">
                  <c:v>Environment</c:v>
                </c:pt>
                <c:pt idx="1">
                  <c:v>Economy</c:v>
                </c:pt>
                <c:pt idx="2">
                  <c:v>Equity/Society</c:v>
                </c:pt>
              </c:strCache>
            </c:strRef>
          </c:cat>
          <c:val>
            <c:numRef>
              <c:f>Analysis!$AI$3:$AI$5</c:f>
              <c:numCache>
                <c:formatCode>General</c:formatCode>
                <c:ptCount val="3"/>
                <c:pt idx="0">
                  <c:v>69</c:v>
                </c:pt>
                <c:pt idx="1">
                  <c:v>119</c:v>
                </c:pt>
                <c:pt idx="2">
                  <c:v>156</c:v>
                </c:pt>
              </c:numCache>
            </c:numRef>
          </c:val>
        </c:ser>
        <c:ser>
          <c:idx val="1"/>
          <c:order val="1"/>
          <c:tx>
            <c:v>1 point</c:v>
          </c:tx>
          <c:invertIfNegative val="0"/>
          <c:dLbls>
            <c:txPr>
              <a:bodyPr/>
              <a:lstStyle/>
              <a:p>
                <a:pPr>
                  <a:defRPr sz="1800" b="1"/>
                </a:pPr>
                <a:endParaRPr lang="en-US"/>
              </a:p>
            </c:txPr>
            <c:showLegendKey val="0"/>
            <c:showVal val="1"/>
            <c:showCatName val="0"/>
            <c:showSerName val="0"/>
            <c:showPercent val="0"/>
            <c:showBubbleSize val="0"/>
            <c:showLeaderLines val="0"/>
          </c:dLbls>
          <c:cat>
            <c:strRef>
              <c:f>Analysis!$AH$3:$AH$5</c:f>
              <c:strCache>
                <c:ptCount val="3"/>
                <c:pt idx="0">
                  <c:v>Environment</c:v>
                </c:pt>
                <c:pt idx="1">
                  <c:v>Economy</c:v>
                </c:pt>
                <c:pt idx="2">
                  <c:v>Equity/Society</c:v>
                </c:pt>
              </c:strCache>
            </c:strRef>
          </c:cat>
          <c:val>
            <c:numRef>
              <c:f>Analysis!$AJ$3:$AJ$5</c:f>
              <c:numCache>
                <c:formatCode>General</c:formatCode>
                <c:ptCount val="3"/>
                <c:pt idx="0">
                  <c:v>27</c:v>
                </c:pt>
                <c:pt idx="1">
                  <c:v>12</c:v>
                </c:pt>
                <c:pt idx="2">
                  <c:v>21</c:v>
                </c:pt>
              </c:numCache>
            </c:numRef>
          </c:val>
        </c:ser>
        <c:dLbls>
          <c:showLegendKey val="0"/>
          <c:showVal val="0"/>
          <c:showCatName val="0"/>
          <c:showSerName val="0"/>
          <c:showPercent val="0"/>
          <c:showBubbleSize val="0"/>
        </c:dLbls>
        <c:gapWidth val="150"/>
        <c:overlap val="100"/>
        <c:axId val="150984960"/>
        <c:axId val="151072768"/>
      </c:barChart>
      <c:catAx>
        <c:axId val="150984960"/>
        <c:scaling>
          <c:orientation val="minMax"/>
        </c:scaling>
        <c:delete val="0"/>
        <c:axPos val="b"/>
        <c:majorTickMark val="out"/>
        <c:minorTickMark val="none"/>
        <c:tickLblPos val="nextTo"/>
        <c:txPr>
          <a:bodyPr/>
          <a:lstStyle/>
          <a:p>
            <a:pPr>
              <a:defRPr sz="1800"/>
            </a:pPr>
            <a:endParaRPr lang="en-US"/>
          </a:p>
        </c:txPr>
        <c:crossAx val="151072768"/>
        <c:crosses val="autoZero"/>
        <c:auto val="1"/>
        <c:lblAlgn val="ctr"/>
        <c:lblOffset val="100"/>
        <c:noMultiLvlLbl val="0"/>
      </c:catAx>
      <c:valAx>
        <c:axId val="151072768"/>
        <c:scaling>
          <c:orientation val="minMax"/>
        </c:scaling>
        <c:delete val="0"/>
        <c:axPos val="l"/>
        <c:majorGridlines/>
        <c:title>
          <c:tx>
            <c:rich>
              <a:bodyPr rot="-5400000" vert="horz"/>
              <a:lstStyle/>
              <a:p>
                <a:pPr>
                  <a:defRPr sz="1800"/>
                </a:pPr>
                <a:r>
                  <a:rPr lang="en-US" sz="1800"/>
                  <a:t>Number of records</a:t>
                </a:r>
              </a:p>
            </c:rich>
          </c:tx>
          <c:overlay val="0"/>
        </c:title>
        <c:numFmt formatCode="General" sourceLinked="1"/>
        <c:majorTickMark val="out"/>
        <c:minorTickMark val="none"/>
        <c:tickLblPos val="nextTo"/>
        <c:crossAx val="150984960"/>
        <c:crosses val="autoZero"/>
        <c:crossBetween val="between"/>
      </c:valAx>
    </c:plotArea>
    <c:legend>
      <c:legendPos val="r"/>
      <c:layout>
        <c:manualLayout>
          <c:xMode val="edge"/>
          <c:yMode val="edge"/>
          <c:x val="0.15591506843270322"/>
          <c:y val="0.16901311403242938"/>
          <c:w val="0.15719298473193322"/>
          <c:h val="0.13462060960972844"/>
        </c:manualLayout>
      </c:layout>
      <c:overlay val="0"/>
      <c:txPr>
        <a:bodyPr/>
        <a:lstStyle/>
        <a:p>
          <a:pPr>
            <a:defRPr sz="1800" b="1"/>
          </a:pPr>
          <a:endParaRPr lang="en-US"/>
        </a:p>
      </c:txPr>
    </c:legend>
    <c:plotVisOnly val="1"/>
    <c:dispBlanksAs val="gap"/>
    <c:showDLblsOverMax val="0"/>
  </c:chart>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0"/>
    </mc:Choice>
    <mc:Fallback>
      <c:style val="10"/>
    </mc:Fallback>
  </mc:AlternateContent>
  <c:chart>
    <c:title>
      <c:tx>
        <c:rich>
          <a:bodyPr/>
          <a:lstStyle/>
          <a:p>
            <a:pPr>
              <a:defRPr/>
            </a:pPr>
            <a:r>
              <a:rPr lang="en-US"/>
              <a:t>Sustainabilty Score for Each Record</a:t>
            </a:r>
          </a:p>
        </c:rich>
      </c:tx>
      <c:overlay val="0"/>
    </c:title>
    <c:autoTitleDeleted val="0"/>
    <c:plotArea>
      <c:layout/>
      <c:lineChart>
        <c:grouping val="standard"/>
        <c:varyColors val="0"/>
        <c:ser>
          <c:idx val="3"/>
          <c:order val="0"/>
          <c:tx>
            <c:strRef>
              <c:f>'Figure 6'!$E$1</c:f>
              <c:strCache>
                <c:ptCount val="1"/>
                <c:pt idx="0">
                  <c:v>Total</c:v>
                </c:pt>
              </c:strCache>
            </c:strRef>
          </c:tx>
          <c:marker>
            <c:symbol val="none"/>
          </c:marker>
          <c:cat>
            <c:numRef>
              <c:f>'Figure 6'!$A$2:$A$326</c:f>
              <c:numCache>
                <c:formatCode>General</c:formatCode>
                <c:ptCount val="325"/>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numCache>
            </c:numRef>
          </c:cat>
          <c:val>
            <c:numRef>
              <c:f>'Figure 6'!$E$2:$E$326</c:f>
              <c:numCache>
                <c:formatCode>General</c:formatCode>
                <c:ptCount val="325"/>
                <c:pt idx="0">
                  <c:v>3</c:v>
                </c:pt>
                <c:pt idx="1">
                  <c:v>2.5</c:v>
                </c:pt>
                <c:pt idx="2">
                  <c:v>2.5</c:v>
                </c:pt>
                <c:pt idx="3">
                  <c:v>2.5</c:v>
                </c:pt>
                <c:pt idx="4">
                  <c:v>2</c:v>
                </c:pt>
                <c:pt idx="5">
                  <c:v>2</c:v>
                </c:pt>
                <c:pt idx="6">
                  <c:v>2</c:v>
                </c:pt>
                <c:pt idx="7">
                  <c:v>2</c:v>
                </c:pt>
                <c:pt idx="8">
                  <c:v>2</c:v>
                </c:pt>
                <c:pt idx="9">
                  <c:v>2</c:v>
                </c:pt>
                <c:pt idx="10">
                  <c:v>2</c:v>
                </c:pt>
                <c:pt idx="11">
                  <c:v>2</c:v>
                </c:pt>
                <c:pt idx="12">
                  <c:v>2</c:v>
                </c:pt>
                <c:pt idx="13">
                  <c:v>2</c:v>
                </c:pt>
                <c:pt idx="14">
                  <c:v>2</c:v>
                </c:pt>
                <c:pt idx="15">
                  <c:v>2</c:v>
                </c:pt>
                <c:pt idx="16">
                  <c:v>2</c:v>
                </c:pt>
                <c:pt idx="17">
                  <c:v>2</c:v>
                </c:pt>
                <c:pt idx="18">
                  <c:v>2</c:v>
                </c:pt>
                <c:pt idx="19">
                  <c:v>1.5</c:v>
                </c:pt>
                <c:pt idx="20">
                  <c:v>1.5</c:v>
                </c:pt>
                <c:pt idx="21">
                  <c:v>1.5</c:v>
                </c:pt>
                <c:pt idx="22">
                  <c:v>1.5</c:v>
                </c:pt>
                <c:pt idx="23">
                  <c:v>1.5</c:v>
                </c:pt>
                <c:pt idx="24">
                  <c:v>1.5</c:v>
                </c:pt>
                <c:pt idx="25">
                  <c:v>1.5</c:v>
                </c:pt>
                <c:pt idx="26">
                  <c:v>1.5</c:v>
                </c:pt>
                <c:pt idx="27">
                  <c:v>1.5</c:v>
                </c:pt>
                <c:pt idx="28">
                  <c:v>1.5</c:v>
                </c:pt>
                <c:pt idx="29">
                  <c:v>1.5</c:v>
                </c:pt>
                <c:pt idx="30">
                  <c:v>1.5</c:v>
                </c:pt>
                <c:pt idx="31">
                  <c:v>1.5</c:v>
                </c:pt>
                <c:pt idx="32">
                  <c:v>1.5</c:v>
                </c:pt>
                <c:pt idx="33">
                  <c:v>1.5</c:v>
                </c:pt>
                <c:pt idx="34">
                  <c:v>1.5</c:v>
                </c:pt>
                <c:pt idx="35">
                  <c:v>1.5</c:v>
                </c:pt>
                <c:pt idx="36">
                  <c:v>1.5</c:v>
                </c:pt>
                <c:pt idx="37">
                  <c:v>1.5</c:v>
                </c:pt>
                <c:pt idx="38">
                  <c:v>1.5</c:v>
                </c:pt>
                <c:pt idx="39">
                  <c:v>1.5</c:v>
                </c:pt>
                <c:pt idx="40">
                  <c:v>1.5</c:v>
                </c:pt>
                <c:pt idx="41">
                  <c:v>1.5</c:v>
                </c:pt>
                <c:pt idx="42">
                  <c:v>1.5</c:v>
                </c:pt>
                <c:pt idx="43">
                  <c:v>1.5</c:v>
                </c:pt>
                <c:pt idx="44">
                  <c:v>1.5</c:v>
                </c:pt>
                <c:pt idx="45">
                  <c:v>1.5</c:v>
                </c:pt>
                <c:pt idx="46">
                  <c:v>1.5</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c:v>
                </c:pt>
                <c:pt idx="101">
                  <c:v>1</c:v>
                </c:pt>
                <c:pt idx="102">
                  <c:v>1</c:v>
                </c:pt>
                <c:pt idx="103">
                  <c:v>1</c:v>
                </c:pt>
                <c:pt idx="104">
                  <c:v>1</c:v>
                </c:pt>
                <c:pt idx="105">
                  <c:v>1</c:v>
                </c:pt>
                <c:pt idx="106">
                  <c:v>1</c:v>
                </c:pt>
                <c:pt idx="107">
                  <c:v>1</c:v>
                </c:pt>
                <c:pt idx="108">
                  <c:v>1</c:v>
                </c:pt>
                <c:pt idx="109">
                  <c:v>1</c:v>
                </c:pt>
                <c:pt idx="110">
                  <c:v>1</c:v>
                </c:pt>
                <c:pt idx="111">
                  <c:v>1</c:v>
                </c:pt>
                <c:pt idx="112">
                  <c:v>1</c:v>
                </c:pt>
                <c:pt idx="113">
                  <c:v>1</c:v>
                </c:pt>
                <c:pt idx="114">
                  <c:v>1</c:v>
                </c:pt>
                <c:pt idx="115">
                  <c:v>1</c:v>
                </c:pt>
                <c:pt idx="116">
                  <c:v>1</c:v>
                </c:pt>
                <c:pt idx="117">
                  <c:v>1</c:v>
                </c:pt>
                <c:pt idx="118">
                  <c:v>1</c:v>
                </c:pt>
                <c:pt idx="119">
                  <c:v>1</c:v>
                </c:pt>
                <c:pt idx="120">
                  <c:v>1</c:v>
                </c:pt>
                <c:pt idx="121">
                  <c:v>1</c:v>
                </c:pt>
                <c:pt idx="122">
                  <c:v>1</c:v>
                </c:pt>
                <c:pt idx="123">
                  <c:v>1</c:v>
                </c:pt>
                <c:pt idx="124">
                  <c:v>1</c:v>
                </c:pt>
                <c:pt idx="125">
                  <c:v>1</c:v>
                </c:pt>
                <c:pt idx="126">
                  <c:v>1</c:v>
                </c:pt>
                <c:pt idx="127">
                  <c:v>1</c:v>
                </c:pt>
                <c:pt idx="128">
                  <c:v>1</c:v>
                </c:pt>
                <c:pt idx="129">
                  <c:v>1</c:v>
                </c:pt>
                <c:pt idx="130">
                  <c:v>1</c:v>
                </c:pt>
                <c:pt idx="131">
                  <c:v>1</c:v>
                </c:pt>
                <c:pt idx="132">
                  <c:v>1</c:v>
                </c:pt>
                <c:pt idx="133">
                  <c:v>1</c:v>
                </c:pt>
                <c:pt idx="134">
                  <c:v>1</c:v>
                </c:pt>
                <c:pt idx="135">
                  <c:v>0.5</c:v>
                </c:pt>
                <c:pt idx="136">
                  <c:v>0.5</c:v>
                </c:pt>
                <c:pt idx="137">
                  <c:v>0.5</c:v>
                </c:pt>
                <c:pt idx="138">
                  <c:v>0.5</c:v>
                </c:pt>
                <c:pt idx="139">
                  <c:v>0.5</c:v>
                </c:pt>
                <c:pt idx="140">
                  <c:v>0.5</c:v>
                </c:pt>
                <c:pt idx="141">
                  <c:v>0.5</c:v>
                </c:pt>
                <c:pt idx="142">
                  <c:v>0.5</c:v>
                </c:pt>
                <c:pt idx="143">
                  <c:v>0.5</c:v>
                </c:pt>
                <c:pt idx="144">
                  <c:v>0.5</c:v>
                </c:pt>
                <c:pt idx="145">
                  <c:v>0.5</c:v>
                </c:pt>
                <c:pt idx="146">
                  <c:v>0.5</c:v>
                </c:pt>
                <c:pt idx="147">
                  <c:v>0.5</c:v>
                </c:pt>
                <c:pt idx="148">
                  <c:v>0.5</c:v>
                </c:pt>
                <c:pt idx="149">
                  <c:v>0.5</c:v>
                </c:pt>
                <c:pt idx="150">
                  <c:v>0.5</c:v>
                </c:pt>
                <c:pt idx="151">
                  <c:v>0.5</c:v>
                </c:pt>
                <c:pt idx="152">
                  <c:v>0.5</c:v>
                </c:pt>
                <c:pt idx="153">
                  <c:v>0.5</c:v>
                </c:pt>
                <c:pt idx="154">
                  <c:v>0.5</c:v>
                </c:pt>
                <c:pt idx="155">
                  <c:v>0.5</c:v>
                </c:pt>
                <c:pt idx="156">
                  <c:v>0.5</c:v>
                </c:pt>
                <c:pt idx="157">
                  <c:v>0.5</c:v>
                </c:pt>
                <c:pt idx="158">
                  <c:v>0.5</c:v>
                </c:pt>
                <c:pt idx="159">
                  <c:v>0.5</c:v>
                </c:pt>
                <c:pt idx="160">
                  <c:v>0.5</c:v>
                </c:pt>
                <c:pt idx="161">
                  <c:v>0.5</c:v>
                </c:pt>
                <c:pt idx="162">
                  <c:v>0.5</c:v>
                </c:pt>
                <c:pt idx="163">
                  <c:v>0.5</c:v>
                </c:pt>
                <c:pt idx="164">
                  <c:v>0.5</c:v>
                </c:pt>
                <c:pt idx="165">
                  <c:v>0.5</c:v>
                </c:pt>
                <c:pt idx="166">
                  <c:v>0.5</c:v>
                </c:pt>
                <c:pt idx="167">
                  <c:v>0.5</c:v>
                </c:pt>
                <c:pt idx="168">
                  <c:v>0.5</c:v>
                </c:pt>
                <c:pt idx="169">
                  <c:v>0.5</c:v>
                </c:pt>
                <c:pt idx="170">
                  <c:v>0.5</c:v>
                </c:pt>
                <c:pt idx="171">
                  <c:v>0.5</c:v>
                </c:pt>
                <c:pt idx="172">
                  <c:v>0.5</c:v>
                </c:pt>
                <c:pt idx="173">
                  <c:v>0.5</c:v>
                </c:pt>
                <c:pt idx="174">
                  <c:v>0.5</c:v>
                </c:pt>
                <c:pt idx="175">
                  <c:v>0.5</c:v>
                </c:pt>
                <c:pt idx="176">
                  <c:v>0.5</c:v>
                </c:pt>
                <c:pt idx="177">
                  <c:v>0.5</c:v>
                </c:pt>
                <c:pt idx="178">
                  <c:v>0.5</c:v>
                </c:pt>
                <c:pt idx="179">
                  <c:v>0.5</c:v>
                </c:pt>
                <c:pt idx="180">
                  <c:v>0.5</c:v>
                </c:pt>
                <c:pt idx="181">
                  <c:v>0.5</c:v>
                </c:pt>
                <c:pt idx="182">
                  <c:v>0.5</c:v>
                </c:pt>
                <c:pt idx="183">
                  <c:v>0.5</c:v>
                </c:pt>
                <c:pt idx="184">
                  <c:v>0.5</c:v>
                </c:pt>
                <c:pt idx="185">
                  <c:v>0.5</c:v>
                </c:pt>
                <c:pt idx="186">
                  <c:v>0.5</c:v>
                </c:pt>
                <c:pt idx="187">
                  <c:v>0.5</c:v>
                </c:pt>
                <c:pt idx="188">
                  <c:v>0.5</c:v>
                </c:pt>
                <c:pt idx="189">
                  <c:v>0.5</c:v>
                </c:pt>
                <c:pt idx="190">
                  <c:v>0.5</c:v>
                </c:pt>
                <c:pt idx="191">
                  <c:v>0.5</c:v>
                </c:pt>
                <c:pt idx="192">
                  <c:v>0.5</c:v>
                </c:pt>
                <c:pt idx="193">
                  <c:v>0.5</c:v>
                </c:pt>
                <c:pt idx="194">
                  <c:v>0.5</c:v>
                </c:pt>
                <c:pt idx="195">
                  <c:v>0.5</c:v>
                </c:pt>
                <c:pt idx="196">
                  <c:v>0.5</c:v>
                </c:pt>
                <c:pt idx="197">
                  <c:v>0.5</c:v>
                </c:pt>
                <c:pt idx="198">
                  <c:v>0.5</c:v>
                </c:pt>
                <c:pt idx="199">
                  <c:v>0.5</c:v>
                </c:pt>
                <c:pt idx="200">
                  <c:v>0.5</c:v>
                </c:pt>
                <c:pt idx="201">
                  <c:v>0.5</c:v>
                </c:pt>
                <c:pt idx="202">
                  <c:v>0.5</c:v>
                </c:pt>
                <c:pt idx="203">
                  <c:v>0.5</c:v>
                </c:pt>
                <c:pt idx="204">
                  <c:v>0.5</c:v>
                </c:pt>
                <c:pt idx="205">
                  <c:v>0.5</c:v>
                </c:pt>
                <c:pt idx="206">
                  <c:v>0.5</c:v>
                </c:pt>
                <c:pt idx="207">
                  <c:v>0.5</c:v>
                </c:pt>
                <c:pt idx="208">
                  <c:v>0.5</c:v>
                </c:pt>
                <c:pt idx="209">
                  <c:v>0.5</c:v>
                </c:pt>
                <c:pt idx="210">
                  <c:v>0.5</c:v>
                </c:pt>
                <c:pt idx="211">
                  <c:v>0.5</c:v>
                </c:pt>
                <c:pt idx="212">
                  <c:v>0.5</c:v>
                </c:pt>
                <c:pt idx="213">
                  <c:v>0.5</c:v>
                </c:pt>
                <c:pt idx="214">
                  <c:v>0.5</c:v>
                </c:pt>
                <c:pt idx="215">
                  <c:v>0.5</c:v>
                </c:pt>
                <c:pt idx="216">
                  <c:v>0.5</c:v>
                </c:pt>
                <c:pt idx="217">
                  <c:v>0.5</c:v>
                </c:pt>
                <c:pt idx="218">
                  <c:v>0.5</c:v>
                </c:pt>
                <c:pt idx="219">
                  <c:v>0.5</c:v>
                </c:pt>
                <c:pt idx="220">
                  <c:v>0.5</c:v>
                </c:pt>
                <c:pt idx="221">
                  <c:v>0.5</c:v>
                </c:pt>
                <c:pt idx="222">
                  <c:v>0.5</c:v>
                </c:pt>
                <c:pt idx="223">
                  <c:v>0.5</c:v>
                </c:pt>
                <c:pt idx="224">
                  <c:v>0.5</c:v>
                </c:pt>
                <c:pt idx="225">
                  <c:v>0.5</c:v>
                </c:pt>
                <c:pt idx="226">
                  <c:v>0.5</c:v>
                </c:pt>
                <c:pt idx="227">
                  <c:v>0.5</c:v>
                </c:pt>
                <c:pt idx="228">
                  <c:v>0.5</c:v>
                </c:pt>
                <c:pt idx="229">
                  <c:v>0.5</c:v>
                </c:pt>
                <c:pt idx="230">
                  <c:v>0.5</c:v>
                </c:pt>
                <c:pt idx="231">
                  <c:v>0.5</c:v>
                </c:pt>
                <c:pt idx="232">
                  <c:v>0.5</c:v>
                </c:pt>
                <c:pt idx="233">
                  <c:v>0.5</c:v>
                </c:pt>
                <c:pt idx="234">
                  <c:v>0.5</c:v>
                </c:pt>
                <c:pt idx="235">
                  <c:v>0.5</c:v>
                </c:pt>
                <c:pt idx="236">
                  <c:v>0.5</c:v>
                </c:pt>
                <c:pt idx="237">
                  <c:v>0.5</c:v>
                </c:pt>
                <c:pt idx="238">
                  <c:v>0.5</c:v>
                </c:pt>
                <c:pt idx="239">
                  <c:v>0.5</c:v>
                </c:pt>
                <c:pt idx="240">
                  <c:v>0.5</c:v>
                </c:pt>
                <c:pt idx="241">
                  <c:v>0.5</c:v>
                </c:pt>
                <c:pt idx="242">
                  <c:v>0.5</c:v>
                </c:pt>
                <c:pt idx="243">
                  <c:v>0.5</c:v>
                </c:pt>
                <c:pt idx="244">
                  <c:v>0.5</c:v>
                </c:pt>
                <c:pt idx="245">
                  <c:v>0.5</c:v>
                </c:pt>
                <c:pt idx="246">
                  <c:v>0.5</c:v>
                </c:pt>
                <c:pt idx="247">
                  <c:v>0.5</c:v>
                </c:pt>
                <c:pt idx="248">
                  <c:v>0.5</c:v>
                </c:pt>
                <c:pt idx="249">
                  <c:v>0.5</c:v>
                </c:pt>
                <c:pt idx="250">
                  <c:v>0.5</c:v>
                </c:pt>
                <c:pt idx="251">
                  <c:v>0.5</c:v>
                </c:pt>
                <c:pt idx="252">
                  <c:v>0.5</c:v>
                </c:pt>
                <c:pt idx="253">
                  <c:v>0.5</c:v>
                </c:pt>
                <c:pt idx="254">
                  <c:v>0.5</c:v>
                </c:pt>
                <c:pt idx="255">
                  <c:v>0.5</c:v>
                </c:pt>
                <c:pt idx="256">
                  <c:v>0.5</c:v>
                </c:pt>
                <c:pt idx="257">
                  <c:v>0.5</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numCache>
            </c:numRef>
          </c:val>
          <c:smooth val="0"/>
        </c:ser>
        <c:dLbls>
          <c:showLegendKey val="0"/>
          <c:showVal val="0"/>
          <c:showCatName val="0"/>
          <c:showSerName val="0"/>
          <c:showPercent val="0"/>
          <c:showBubbleSize val="0"/>
        </c:dLbls>
        <c:marker val="1"/>
        <c:smooth val="0"/>
        <c:axId val="151483520"/>
        <c:axId val="151485440"/>
      </c:lineChart>
      <c:catAx>
        <c:axId val="151483520"/>
        <c:scaling>
          <c:orientation val="minMax"/>
        </c:scaling>
        <c:delete val="0"/>
        <c:axPos val="b"/>
        <c:title>
          <c:tx>
            <c:rich>
              <a:bodyPr/>
              <a:lstStyle/>
              <a:p>
                <a:pPr>
                  <a:defRPr/>
                </a:pPr>
                <a:r>
                  <a:rPr lang="en-US"/>
                  <a:t>Record</a:t>
                </a:r>
              </a:p>
            </c:rich>
          </c:tx>
          <c:overlay val="0"/>
        </c:title>
        <c:numFmt formatCode="General" sourceLinked="1"/>
        <c:majorTickMark val="out"/>
        <c:minorTickMark val="none"/>
        <c:tickLblPos val="nextTo"/>
        <c:crossAx val="151485440"/>
        <c:crosses val="autoZero"/>
        <c:auto val="1"/>
        <c:lblAlgn val="ctr"/>
        <c:lblOffset val="100"/>
        <c:noMultiLvlLbl val="0"/>
      </c:catAx>
      <c:valAx>
        <c:axId val="151485440"/>
        <c:scaling>
          <c:orientation val="minMax"/>
        </c:scaling>
        <c:delete val="0"/>
        <c:axPos val="l"/>
        <c:majorGridlines/>
        <c:title>
          <c:tx>
            <c:rich>
              <a:bodyPr rot="-5400000" vert="horz"/>
              <a:lstStyle/>
              <a:p>
                <a:pPr>
                  <a:defRPr/>
                </a:pPr>
                <a:r>
                  <a:rPr lang="en-US"/>
                  <a:t>Score</a:t>
                </a:r>
              </a:p>
            </c:rich>
          </c:tx>
          <c:overlay val="0"/>
        </c:title>
        <c:numFmt formatCode="General" sourceLinked="1"/>
        <c:majorTickMark val="out"/>
        <c:minorTickMark val="none"/>
        <c:tickLblPos val="nextTo"/>
        <c:crossAx val="151483520"/>
        <c:crosses val="autoZero"/>
        <c:crossBetween val="between"/>
      </c:valAx>
    </c:plotArea>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800" b="1" i="0" baseline="0">
                <a:effectLst/>
              </a:rPr>
              <a:t>Percent of Records (scoring 0.5 and up) that Address Sustainability Areas</a:t>
            </a:r>
            <a:br>
              <a:rPr lang="en-US" sz="1800" b="1" i="0" baseline="0">
                <a:effectLst/>
              </a:rPr>
            </a:br>
            <a:r>
              <a:rPr lang="en-US" sz="1200" b="0" i="0" baseline="0">
                <a:effectLst/>
              </a:rPr>
              <a:t>258 Records</a:t>
            </a:r>
            <a:endParaRPr lang="en-US" sz="1200" b="0">
              <a:effectLst/>
            </a:endParaRPr>
          </a:p>
        </c:rich>
      </c:tx>
      <c:overlay val="0"/>
    </c:title>
    <c:autoTitleDeleted val="0"/>
    <c:plotArea>
      <c:layout/>
      <c:barChart>
        <c:barDir val="col"/>
        <c:grouping val="clustered"/>
        <c:varyColors val="0"/>
        <c:ser>
          <c:idx val="0"/>
          <c:order val="0"/>
          <c:tx>
            <c:strRef>
              <c:f>Analysis!$C$1</c:f>
              <c:strCache>
                <c:ptCount val="1"/>
                <c:pt idx="0">
                  <c:v>Count</c:v>
                </c:pt>
              </c:strCache>
            </c:strRef>
          </c:tx>
          <c:invertIfNegative val="0"/>
          <c:dLbls>
            <c:numFmt formatCode="0%" sourceLinked="0"/>
            <c:showLegendKey val="0"/>
            <c:showVal val="1"/>
            <c:showCatName val="0"/>
            <c:showSerName val="0"/>
            <c:showPercent val="0"/>
            <c:showBubbleSize val="0"/>
            <c:showLeaderLines val="0"/>
          </c:dLbls>
          <c:cat>
            <c:strRef>
              <c:f>Analysis!$B$2:$B$18</c:f>
              <c:strCache>
                <c:ptCount val="17"/>
                <c:pt idx="0">
                  <c:v>Efficiency</c:v>
                </c:pt>
                <c:pt idx="1">
                  <c:v>Safety</c:v>
                </c:pt>
                <c:pt idx="2">
                  <c:v>Access</c:v>
                </c:pt>
                <c:pt idx="3">
                  <c:v>Emissions and Waste</c:v>
                </c:pt>
                <c:pt idx="4">
                  <c:v>Intragenerational Equity</c:v>
                </c:pt>
                <c:pt idx="5">
                  <c:v>Health/Environmental Damage</c:v>
                </c:pt>
                <c:pt idx="6">
                  <c:v>Social Cost</c:v>
                </c:pt>
                <c:pt idx="7">
                  <c:v>Energy </c:v>
                </c:pt>
                <c:pt idx="8">
                  <c:v>Affordability</c:v>
                </c:pt>
                <c:pt idx="9">
                  <c:v>Land Use</c:v>
                </c:pt>
                <c:pt idx="10">
                  <c:v>Non-renewable Resources</c:v>
                </c:pt>
                <c:pt idx="11">
                  <c:v>Employment</c:v>
                </c:pt>
                <c:pt idx="12">
                  <c:v>Noise</c:v>
                </c:pt>
                <c:pt idx="13">
                  <c:v>Standards</c:v>
                </c:pt>
                <c:pt idx="14">
                  <c:v>Recycling </c:v>
                </c:pt>
                <c:pt idx="15">
                  <c:v>Renewable Resources</c:v>
                </c:pt>
                <c:pt idx="16">
                  <c:v>Intergenerational Equity</c:v>
                </c:pt>
              </c:strCache>
            </c:strRef>
          </c:cat>
          <c:val>
            <c:numRef>
              <c:f>Analysis!$D$2:$D$18</c:f>
              <c:numCache>
                <c:formatCode>0.00%</c:formatCode>
                <c:ptCount val="17"/>
                <c:pt idx="0">
                  <c:v>0.44573643410852715</c:v>
                </c:pt>
                <c:pt idx="1">
                  <c:v>0.37596899224806202</c:v>
                </c:pt>
                <c:pt idx="2">
                  <c:v>0.21705426356589147</c:v>
                </c:pt>
                <c:pt idx="3">
                  <c:v>0.17054263565891473</c:v>
                </c:pt>
                <c:pt idx="4">
                  <c:v>0.15116279069767441</c:v>
                </c:pt>
                <c:pt idx="5">
                  <c:v>0.15116279069767441</c:v>
                </c:pt>
                <c:pt idx="6">
                  <c:v>7.7519379844961239E-2</c:v>
                </c:pt>
                <c:pt idx="7">
                  <c:v>6.9767441860465115E-2</c:v>
                </c:pt>
                <c:pt idx="8">
                  <c:v>3.875968992248062E-2</c:v>
                </c:pt>
                <c:pt idx="9">
                  <c:v>3.875968992248062E-2</c:v>
                </c:pt>
                <c:pt idx="10">
                  <c:v>1.937984496124031E-2</c:v>
                </c:pt>
                <c:pt idx="11">
                  <c:v>1.937984496124031E-2</c:v>
                </c:pt>
                <c:pt idx="12">
                  <c:v>1.5503875968992248E-2</c:v>
                </c:pt>
                <c:pt idx="13">
                  <c:v>1.1627906976744186E-2</c:v>
                </c:pt>
                <c:pt idx="14">
                  <c:v>7.7519379844961239E-3</c:v>
                </c:pt>
                <c:pt idx="15">
                  <c:v>7.7519379844961239E-3</c:v>
                </c:pt>
                <c:pt idx="16">
                  <c:v>3.875968992248062E-3</c:v>
                </c:pt>
              </c:numCache>
            </c:numRef>
          </c:val>
        </c:ser>
        <c:dLbls>
          <c:showLegendKey val="0"/>
          <c:showVal val="0"/>
          <c:showCatName val="0"/>
          <c:showSerName val="0"/>
          <c:showPercent val="0"/>
          <c:showBubbleSize val="0"/>
        </c:dLbls>
        <c:gapWidth val="100"/>
        <c:axId val="150284160"/>
        <c:axId val="150282624"/>
      </c:barChart>
      <c:valAx>
        <c:axId val="150282624"/>
        <c:scaling>
          <c:orientation val="minMax"/>
        </c:scaling>
        <c:delete val="0"/>
        <c:axPos val="l"/>
        <c:majorGridlines/>
        <c:numFmt formatCode="0.00%" sourceLinked="1"/>
        <c:majorTickMark val="out"/>
        <c:minorTickMark val="none"/>
        <c:tickLblPos val="nextTo"/>
        <c:crossAx val="150284160"/>
        <c:crosses val="autoZero"/>
        <c:crossBetween val="between"/>
      </c:valAx>
      <c:catAx>
        <c:axId val="150284160"/>
        <c:scaling>
          <c:orientation val="minMax"/>
        </c:scaling>
        <c:delete val="0"/>
        <c:axPos val="b"/>
        <c:majorTickMark val="out"/>
        <c:minorTickMark val="none"/>
        <c:tickLblPos val="nextTo"/>
        <c:crossAx val="150282624"/>
        <c:crosses val="autoZero"/>
        <c:auto val="1"/>
        <c:lblAlgn val="ctr"/>
        <c:lblOffset val="100"/>
        <c:noMultiLvlLbl val="0"/>
      </c:catAx>
    </c:plotArea>
    <c:plotVisOnly val="1"/>
    <c:dispBlanksAs val="zero"/>
    <c:showDLblsOverMax val="0"/>
  </c:chart>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800" b="1" i="0" u="none" strike="noStrike" baseline="0" smtClean="0"/>
              <a:t>Percent of Records that Address One or More of the Three Sustainability Dimensions </a:t>
            </a:r>
            <a:endParaRPr lang="en-US"/>
          </a:p>
        </c:rich>
      </c:tx>
      <c:overlay val="0"/>
    </c:title>
    <c:autoTitleDeleted val="0"/>
    <c:plotArea>
      <c:layout/>
      <c:barChart>
        <c:barDir val="col"/>
        <c:grouping val="clustered"/>
        <c:varyColors val="0"/>
        <c:ser>
          <c:idx val="0"/>
          <c:order val="0"/>
          <c:invertIfNegative val="0"/>
          <c:dLbls>
            <c:showLegendKey val="0"/>
            <c:showVal val="1"/>
            <c:showCatName val="0"/>
            <c:showSerName val="0"/>
            <c:showPercent val="0"/>
            <c:showBubbleSize val="0"/>
            <c:showLeaderLines val="0"/>
          </c:dLbls>
          <c:cat>
            <c:strRef>
              <c:f>Analysis!$X$2:$Z$2</c:f>
              <c:strCache>
                <c:ptCount val="3"/>
                <c:pt idx="0">
                  <c:v>One</c:v>
                </c:pt>
                <c:pt idx="1">
                  <c:v>Two</c:v>
                </c:pt>
                <c:pt idx="2">
                  <c:v>Three</c:v>
                </c:pt>
              </c:strCache>
            </c:strRef>
          </c:cat>
          <c:val>
            <c:numRef>
              <c:f>Analysis!$X$4:$Z$4</c:f>
              <c:numCache>
                <c:formatCode>0.0%</c:formatCode>
                <c:ptCount val="3"/>
                <c:pt idx="0">
                  <c:v>0.55813953488372092</c:v>
                </c:pt>
                <c:pt idx="1">
                  <c:v>0.31782945736434109</c:v>
                </c:pt>
                <c:pt idx="2">
                  <c:v>0.12403100775193798</c:v>
                </c:pt>
              </c:numCache>
            </c:numRef>
          </c:val>
        </c:ser>
        <c:dLbls>
          <c:showLegendKey val="0"/>
          <c:showVal val="0"/>
          <c:showCatName val="0"/>
          <c:showSerName val="0"/>
          <c:showPercent val="0"/>
          <c:showBubbleSize val="0"/>
        </c:dLbls>
        <c:gapWidth val="150"/>
        <c:axId val="150309504"/>
        <c:axId val="151208320"/>
      </c:barChart>
      <c:catAx>
        <c:axId val="150309504"/>
        <c:scaling>
          <c:orientation val="minMax"/>
        </c:scaling>
        <c:delete val="0"/>
        <c:axPos val="b"/>
        <c:majorTickMark val="out"/>
        <c:minorTickMark val="none"/>
        <c:tickLblPos val="nextTo"/>
        <c:crossAx val="151208320"/>
        <c:crosses val="autoZero"/>
        <c:auto val="1"/>
        <c:lblAlgn val="ctr"/>
        <c:lblOffset val="100"/>
        <c:noMultiLvlLbl val="0"/>
      </c:catAx>
      <c:valAx>
        <c:axId val="151208320"/>
        <c:scaling>
          <c:orientation val="minMax"/>
        </c:scaling>
        <c:delete val="0"/>
        <c:axPos val="l"/>
        <c:majorGridlines/>
        <c:title>
          <c:tx>
            <c:rich>
              <a:bodyPr rot="-5400000" vert="horz"/>
              <a:lstStyle/>
              <a:p>
                <a:pPr>
                  <a:defRPr/>
                </a:pPr>
                <a:r>
                  <a:rPr lang="en-US"/>
                  <a:t>Percent of Records </a:t>
                </a:r>
              </a:p>
            </c:rich>
          </c:tx>
          <c:overlay val="0"/>
        </c:title>
        <c:numFmt formatCode="0.0%" sourceLinked="1"/>
        <c:majorTickMark val="out"/>
        <c:minorTickMark val="none"/>
        <c:tickLblPos val="nextTo"/>
        <c:crossAx val="150309504"/>
        <c:crosses val="autoZero"/>
        <c:crossBetween val="between"/>
      </c:valAx>
    </c:plotArea>
    <c:plotVisOnly val="1"/>
    <c:dispBlanksAs val="gap"/>
    <c:showDLblsOverMax val="0"/>
  </c:chart>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Score for Records Addressing all 3 Dimensions</a:t>
            </a:r>
          </a:p>
        </c:rich>
      </c:tx>
      <c:overlay val="0"/>
    </c:title>
    <c:autoTitleDeleted val="0"/>
    <c:plotArea>
      <c:layout/>
      <c:barChart>
        <c:barDir val="col"/>
        <c:grouping val="clustered"/>
        <c:varyColors val="0"/>
        <c:ser>
          <c:idx val="1"/>
          <c:order val="0"/>
          <c:tx>
            <c:v>Records Addressing 3 Es</c:v>
          </c:tx>
          <c:invertIfNegative val="0"/>
          <c:dLbls>
            <c:showLegendKey val="0"/>
            <c:showVal val="1"/>
            <c:showCatName val="0"/>
            <c:showSerName val="0"/>
            <c:showPercent val="0"/>
            <c:showBubbleSize val="0"/>
            <c:showLeaderLines val="0"/>
          </c:dLbls>
          <c:cat>
            <c:numRef>
              <c:f>Analysis!$AC$3:$AC$6</c:f>
              <c:numCache>
                <c:formatCode>General</c:formatCode>
                <c:ptCount val="4"/>
                <c:pt idx="0">
                  <c:v>1.5</c:v>
                </c:pt>
                <c:pt idx="1">
                  <c:v>2</c:v>
                </c:pt>
                <c:pt idx="2">
                  <c:v>2.5</c:v>
                </c:pt>
                <c:pt idx="3">
                  <c:v>3</c:v>
                </c:pt>
              </c:numCache>
            </c:numRef>
          </c:cat>
          <c:val>
            <c:numRef>
              <c:f>Analysis!$AD$3:$AD$6</c:f>
              <c:numCache>
                <c:formatCode>General</c:formatCode>
                <c:ptCount val="4"/>
                <c:pt idx="0">
                  <c:v>16</c:v>
                </c:pt>
                <c:pt idx="1">
                  <c:v>12</c:v>
                </c:pt>
                <c:pt idx="2">
                  <c:v>3</c:v>
                </c:pt>
                <c:pt idx="3">
                  <c:v>1</c:v>
                </c:pt>
              </c:numCache>
            </c:numRef>
          </c:val>
        </c:ser>
        <c:dLbls>
          <c:showLegendKey val="0"/>
          <c:showVal val="0"/>
          <c:showCatName val="0"/>
          <c:showSerName val="0"/>
          <c:showPercent val="0"/>
          <c:showBubbleSize val="0"/>
        </c:dLbls>
        <c:gapWidth val="150"/>
        <c:axId val="151250432"/>
        <c:axId val="151252352"/>
      </c:barChart>
      <c:catAx>
        <c:axId val="151250432"/>
        <c:scaling>
          <c:orientation val="minMax"/>
        </c:scaling>
        <c:delete val="0"/>
        <c:axPos val="b"/>
        <c:title>
          <c:tx>
            <c:rich>
              <a:bodyPr/>
              <a:lstStyle/>
              <a:p>
                <a:pPr>
                  <a:defRPr/>
                </a:pPr>
                <a:r>
                  <a:rPr lang="en-US"/>
                  <a:t>Score</a:t>
                </a:r>
              </a:p>
            </c:rich>
          </c:tx>
          <c:overlay val="0"/>
        </c:title>
        <c:numFmt formatCode="General" sourceLinked="1"/>
        <c:majorTickMark val="out"/>
        <c:minorTickMark val="none"/>
        <c:tickLblPos val="nextTo"/>
        <c:crossAx val="151252352"/>
        <c:crosses val="autoZero"/>
        <c:auto val="1"/>
        <c:lblAlgn val="ctr"/>
        <c:lblOffset val="100"/>
        <c:noMultiLvlLbl val="0"/>
      </c:catAx>
      <c:valAx>
        <c:axId val="151252352"/>
        <c:scaling>
          <c:orientation val="minMax"/>
        </c:scaling>
        <c:delete val="0"/>
        <c:axPos val="l"/>
        <c:majorGridlines/>
        <c:title>
          <c:tx>
            <c:rich>
              <a:bodyPr rot="-5400000" vert="horz"/>
              <a:lstStyle/>
              <a:p>
                <a:pPr>
                  <a:defRPr/>
                </a:pPr>
                <a:r>
                  <a:rPr lang="en-US"/>
                  <a:t>Number of Records</a:t>
                </a:r>
              </a:p>
            </c:rich>
          </c:tx>
          <c:overlay val="0"/>
        </c:title>
        <c:numFmt formatCode="General" sourceLinked="1"/>
        <c:majorTickMark val="out"/>
        <c:minorTickMark val="none"/>
        <c:tickLblPos val="nextTo"/>
        <c:crossAx val="151250432"/>
        <c:crosses val="autoZero"/>
        <c:crossBetween val="between"/>
      </c:valAx>
    </c:plotArea>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4.xml"/></Relationships>
</file>

<file path=xl/chartsheets/_rels/sheet13.xml.rels><?xml version="1.0" encoding="UTF-8" standalone="yes"?>
<Relationships xmlns="http://schemas.openxmlformats.org/package/2006/relationships"><Relationship Id="rId1" Type="http://schemas.openxmlformats.org/officeDocument/2006/relationships/drawing" Target="../drawings/drawing15.xml"/></Relationships>
</file>

<file path=xl/chartsheets/_rels/sheet14.xml.rels><?xml version="1.0" encoding="UTF-8" standalone="yes"?>
<Relationships xmlns="http://schemas.openxmlformats.org/package/2006/relationships"><Relationship Id="rId1" Type="http://schemas.openxmlformats.org/officeDocument/2006/relationships/drawing" Target="../drawings/drawing16.xml"/></Relationships>
</file>

<file path=xl/chartsheets/sheet1.xml><?xml version="1.0" encoding="utf-8"?>
<chartsheet xmlns="http://schemas.openxmlformats.org/spreadsheetml/2006/main" xmlns:r="http://schemas.openxmlformats.org/officeDocument/2006/relationships">
  <sheetPr codeName="Chart5"/>
  <sheetViews>
    <sheetView zoomScale="78"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codeName="Chart6"/>
  <sheetViews>
    <sheetView zoomScale="78"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codeName="Chart7"/>
  <sheetViews>
    <sheetView zoomScale="78"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codeName="Chart8"/>
  <sheetViews>
    <sheetView zoomScale="78" workbookViewId="0" zoomToFit="1"/>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codeName="Chart10"/>
  <sheetViews>
    <sheetView zoomScale="78" workbookViewId="0" zoomToFit="1"/>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codeName="Chart11"/>
  <sheetViews>
    <sheetView zoomScale="78" workbookViewId="0" zoomToFit="1"/>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codeName="Chart12"/>
  <sheetViews>
    <sheetView zoomScale="78" workbookViewId="0" zoomToFit="1"/>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codeName="Chart13"/>
  <sheetViews>
    <sheetView zoomScale="78" workbookViewId="0" zoomToFit="1"/>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codeName="Chart14"/>
  <sheetViews>
    <sheetView zoomScale="78" workbookViewId="0" zoomToFit="1"/>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codeName="Chart15"/>
  <sheetViews>
    <sheetView zoomScale="78" workbookViewId="0" zoomToFit="1"/>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codeName="Chart1"/>
  <sheetViews>
    <sheetView zoomScale="78" workbookViewId="0" zoomToFit="1"/>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codeName="Chart9"/>
  <sheetViews>
    <sheetView zoomScale="78" workbookViewId="0" zoomToFit="1"/>
  </sheetViews>
  <pageMargins left="0.7" right="0.7" top="0.75" bottom="0.75" header="0.3" footer="0.3"/>
  <drawing r:id="rId1"/>
</chartsheet>
</file>

<file path=xl/chartsheets/sheet13.xml><?xml version="1.0" encoding="utf-8"?>
<chartsheet xmlns="http://schemas.openxmlformats.org/spreadsheetml/2006/main" xmlns:r="http://schemas.openxmlformats.org/officeDocument/2006/relationships">
  <sheetPr codeName="Chart17"/>
  <sheetViews>
    <sheetView zoomScale="78" workbookViewId="0" zoomToFit="1"/>
  </sheetViews>
  <pageMargins left="0.7" right="0.7" top="0.75" bottom="0.75" header="0.3" footer="0.3"/>
  <drawing r:id="rId1"/>
</chartsheet>
</file>

<file path=xl/chartsheets/sheet14.xml><?xml version="1.0" encoding="utf-8"?>
<chartsheet xmlns="http://schemas.openxmlformats.org/spreadsheetml/2006/main" xmlns:r="http://schemas.openxmlformats.org/officeDocument/2006/relationships">
  <sheetPr codeName="Chart18"/>
  <sheetViews>
    <sheetView zoomScale="78"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5.xml"/></Relationships>
</file>

<file path=xl/drawings/drawing1.xml><?xml version="1.0" encoding="utf-8"?>
<xdr:wsDr xmlns:xdr="http://schemas.openxmlformats.org/drawingml/2006/spreadsheetDrawing" xmlns:a="http://schemas.openxmlformats.org/drawingml/2006/main">
  <xdr:twoCellAnchor>
    <xdr:from>
      <xdr:col>4</xdr:col>
      <xdr:colOff>0</xdr:colOff>
      <xdr:row>5</xdr:row>
      <xdr:rowOff>76200</xdr:rowOff>
    </xdr:from>
    <xdr:to>
      <xdr:col>6</xdr:col>
      <xdr:colOff>228600</xdr:colOff>
      <xdr:row>10</xdr:row>
      <xdr:rowOff>19050</xdr:rowOff>
    </xdr:to>
    <xdr:sp macro="" textlink="">
      <xdr:nvSpPr>
        <xdr:cNvPr id="2" name="TextBox 1"/>
        <xdr:cNvSpPr txBox="1"/>
      </xdr:nvSpPr>
      <xdr:spPr>
        <a:xfrm>
          <a:off x="7334250" y="981075"/>
          <a:ext cx="1990725" cy="847725"/>
        </a:xfrm>
        <a:prstGeom prst="rect">
          <a:avLst/>
        </a:prstGeom>
        <a:solidFill>
          <a:schemeClr val="tx2">
            <a:lumMod val="20000"/>
            <a:lumOff val="80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sz="1100" b="1"/>
            <a:t>This sheet includes lists used to populate</a:t>
          </a:r>
          <a:r>
            <a:rPr lang="en-US" sz="1100" b="1" baseline="0"/>
            <a:t> the 'Records' fields in the form of drop-down menus.</a:t>
          </a:r>
          <a:endParaRPr lang="en-US" sz="1100" b="1"/>
        </a:p>
      </xdr:txBody>
    </xdr:sp>
    <xdr:clientData/>
  </xdr:twoCellAnchor>
</xdr:wsDr>
</file>

<file path=xl/drawings/drawing2.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187325</xdr:rowOff>
    </xdr:from>
    <xdr:to>
      <xdr:col>22</xdr:col>
      <xdr:colOff>127000</xdr:colOff>
      <xdr:row>29</xdr:row>
      <xdr:rowOff>31750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5.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6.xml><?xml version="1.0" encoding="utf-8"?>
<xdr:wsDr xmlns:xdr="http://schemas.openxmlformats.org/drawingml/2006/spreadsheetDrawing" xmlns:a="http://schemas.openxmlformats.org/drawingml/2006/main">
  <xdr:absoluteAnchor>
    <xdr:pos x="0" y="0"/>
    <xdr:ext cx="8657981" cy="626451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7.xml><?xml version="1.0" encoding="utf-8"?>
<xdr:wsDr xmlns:xdr="http://schemas.openxmlformats.org/drawingml/2006/spreadsheetDrawing" xmlns:a="http://schemas.openxmlformats.org/drawingml/2006/main">
  <xdr:twoCellAnchor>
    <xdr:from>
      <xdr:col>2</xdr:col>
      <xdr:colOff>0</xdr:colOff>
      <xdr:row>1</xdr:row>
      <xdr:rowOff>0</xdr:rowOff>
    </xdr:from>
    <xdr:to>
      <xdr:col>4</xdr:col>
      <xdr:colOff>556260</xdr:colOff>
      <xdr:row>3</xdr:row>
      <xdr:rowOff>60960</xdr:rowOff>
    </xdr:to>
    <xdr:sp macro="" textlink="">
      <xdr:nvSpPr>
        <xdr:cNvPr id="2" name="TextBox 1"/>
        <xdr:cNvSpPr txBox="1"/>
      </xdr:nvSpPr>
      <xdr:spPr>
        <a:xfrm>
          <a:off x="4183380" y="190500"/>
          <a:ext cx="1775460" cy="441960"/>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This list represents data used to create crosstab</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rns.trb.org/dproject.asp?n=13858" TargetMode="External"/><Relationship Id="rId299" Type="http://schemas.openxmlformats.org/officeDocument/2006/relationships/hyperlink" Target="http://rns.trb.org/dproject.asp?n=25848" TargetMode="External"/><Relationship Id="rId21" Type="http://schemas.openxmlformats.org/officeDocument/2006/relationships/hyperlink" Target="http://rns.trb.org/dproject.asp?n=15235" TargetMode="External"/><Relationship Id="rId42" Type="http://schemas.openxmlformats.org/officeDocument/2006/relationships/hyperlink" Target="http://rns.trb.org/dproject.asp?n=29388" TargetMode="External"/><Relationship Id="rId63" Type="http://schemas.openxmlformats.org/officeDocument/2006/relationships/hyperlink" Target="http://rns.trb.org/dproject.asp?n=14287" TargetMode="External"/><Relationship Id="rId84" Type="http://schemas.openxmlformats.org/officeDocument/2006/relationships/hyperlink" Target="http://rns.trb.org/dproject.asp?n=14159" TargetMode="External"/><Relationship Id="rId138" Type="http://schemas.openxmlformats.org/officeDocument/2006/relationships/hyperlink" Target="http://rns.trb.org/dproject.asp?n=27843" TargetMode="External"/><Relationship Id="rId159" Type="http://schemas.openxmlformats.org/officeDocument/2006/relationships/hyperlink" Target="http://rns.trb.org/dproject.asp?n=24822" TargetMode="External"/><Relationship Id="rId170" Type="http://schemas.openxmlformats.org/officeDocument/2006/relationships/hyperlink" Target="http://rns.trb.org/dproject.asp?n=20517" TargetMode="External"/><Relationship Id="rId191" Type="http://schemas.openxmlformats.org/officeDocument/2006/relationships/hyperlink" Target="http://rns.trb.org/dproject.asp?n=14299" TargetMode="External"/><Relationship Id="rId205" Type="http://schemas.openxmlformats.org/officeDocument/2006/relationships/hyperlink" Target="http://rns.trb.org/dproject.asp?n=13903" TargetMode="External"/><Relationship Id="rId226" Type="http://schemas.openxmlformats.org/officeDocument/2006/relationships/hyperlink" Target="http://rns.trb.org/dproject.asp?n=13143" TargetMode="External"/><Relationship Id="rId247" Type="http://schemas.openxmlformats.org/officeDocument/2006/relationships/hyperlink" Target="http://rns.trb.org/dproject.asp?n=12652" TargetMode="External"/><Relationship Id="rId107" Type="http://schemas.openxmlformats.org/officeDocument/2006/relationships/hyperlink" Target="http://rns.trb.org/dproject.asp?n=17769" TargetMode="External"/><Relationship Id="rId268" Type="http://schemas.openxmlformats.org/officeDocument/2006/relationships/hyperlink" Target="http://rns.trb.org/dproject.asp?n=17799" TargetMode="External"/><Relationship Id="rId289" Type="http://schemas.openxmlformats.org/officeDocument/2006/relationships/hyperlink" Target="http://rns.trb.org/dproject.asp?n=12621" TargetMode="External"/><Relationship Id="rId11" Type="http://schemas.openxmlformats.org/officeDocument/2006/relationships/hyperlink" Target="http://rns.trb.org/dproject.asp?n=28630" TargetMode="External"/><Relationship Id="rId32" Type="http://schemas.openxmlformats.org/officeDocument/2006/relationships/hyperlink" Target="http://rns.trb.org/dproject.asp?n=25861" TargetMode="External"/><Relationship Id="rId53" Type="http://schemas.openxmlformats.org/officeDocument/2006/relationships/hyperlink" Target="http://rns.trb.org/dproject.asp?n=24741" TargetMode="External"/><Relationship Id="rId74" Type="http://schemas.openxmlformats.org/officeDocument/2006/relationships/hyperlink" Target="http://rns.trb.org/dproject.asp?n=12701" TargetMode="External"/><Relationship Id="rId128" Type="http://schemas.openxmlformats.org/officeDocument/2006/relationships/hyperlink" Target="http://rns.trb.org/dproject.asp?n=29217" TargetMode="External"/><Relationship Id="rId149" Type="http://schemas.openxmlformats.org/officeDocument/2006/relationships/hyperlink" Target="http://rns.trb.org/dproject.asp?n=26368" TargetMode="External"/><Relationship Id="rId5" Type="http://schemas.openxmlformats.org/officeDocument/2006/relationships/hyperlink" Target="http://rns.trb.org/dproject.asp?n=12594" TargetMode="External"/><Relationship Id="rId95" Type="http://schemas.openxmlformats.org/officeDocument/2006/relationships/hyperlink" Target="http://rns.trb.org/dproject.asp?n=29360" TargetMode="External"/><Relationship Id="rId160" Type="http://schemas.openxmlformats.org/officeDocument/2006/relationships/hyperlink" Target="http://rns.trb.org/dproject.asp?n=24820" TargetMode="External"/><Relationship Id="rId181" Type="http://schemas.openxmlformats.org/officeDocument/2006/relationships/hyperlink" Target="http://rns.trb.org/dproject.asp?n=17637" TargetMode="External"/><Relationship Id="rId216" Type="http://schemas.openxmlformats.org/officeDocument/2006/relationships/hyperlink" Target="http://rns.trb.org/dproject.asp?n=13581" TargetMode="External"/><Relationship Id="rId237" Type="http://schemas.openxmlformats.org/officeDocument/2006/relationships/hyperlink" Target="http://rns.trb.org/dproject.asp?n=12760" TargetMode="External"/><Relationship Id="rId258" Type="http://schemas.openxmlformats.org/officeDocument/2006/relationships/hyperlink" Target="http://rns.trb.org/dproject.asp?n=25847" TargetMode="External"/><Relationship Id="rId279" Type="http://schemas.openxmlformats.org/officeDocument/2006/relationships/hyperlink" Target="http://rns.trb.org/dproject.asp?n=13890" TargetMode="External"/><Relationship Id="rId22" Type="http://schemas.openxmlformats.org/officeDocument/2006/relationships/hyperlink" Target="http://rns.trb.org/dproject.asp?n=15380" TargetMode="External"/><Relationship Id="rId43" Type="http://schemas.openxmlformats.org/officeDocument/2006/relationships/hyperlink" Target="http://rns.trb.org/dproject.asp?n=29389" TargetMode="External"/><Relationship Id="rId64" Type="http://schemas.openxmlformats.org/officeDocument/2006/relationships/hyperlink" Target="http://rns.trb.org/dproject.asp?n=14286" TargetMode="External"/><Relationship Id="rId118" Type="http://schemas.openxmlformats.org/officeDocument/2006/relationships/hyperlink" Target="http://rns.trb.org/dproject.asp?n=12700" TargetMode="External"/><Relationship Id="rId139" Type="http://schemas.openxmlformats.org/officeDocument/2006/relationships/hyperlink" Target="http://rns.trb.org/dproject.asp?n=27842" TargetMode="External"/><Relationship Id="rId290" Type="http://schemas.openxmlformats.org/officeDocument/2006/relationships/hyperlink" Target="http://rns.trb.org/dproject.asp?n=28629" TargetMode="External"/><Relationship Id="rId85" Type="http://schemas.openxmlformats.org/officeDocument/2006/relationships/hyperlink" Target="http://rns.trb.org/dproject.asp?n=14156" TargetMode="External"/><Relationship Id="rId150" Type="http://schemas.openxmlformats.org/officeDocument/2006/relationships/hyperlink" Target="http://rns.trb.org/dproject.asp?n=26367" TargetMode="External"/><Relationship Id="rId171" Type="http://schemas.openxmlformats.org/officeDocument/2006/relationships/hyperlink" Target="http://rns.trb.org/dproject.asp?n=20466" TargetMode="External"/><Relationship Id="rId192" Type="http://schemas.openxmlformats.org/officeDocument/2006/relationships/hyperlink" Target="http://rns.trb.org/dproject.asp?n=14258" TargetMode="External"/><Relationship Id="rId206" Type="http://schemas.openxmlformats.org/officeDocument/2006/relationships/hyperlink" Target="http://rns.trb.org/dproject.asp?n=13901" TargetMode="External"/><Relationship Id="rId227" Type="http://schemas.openxmlformats.org/officeDocument/2006/relationships/hyperlink" Target="http://rns.trb.org/dproject.asp?n=13089" TargetMode="External"/><Relationship Id="rId248" Type="http://schemas.openxmlformats.org/officeDocument/2006/relationships/hyperlink" Target="http://rns.trb.org/dproject.asp?n=12650" TargetMode="External"/><Relationship Id="rId269" Type="http://schemas.openxmlformats.org/officeDocument/2006/relationships/hyperlink" Target="http://rns.trb.org/dproject.asp?n=17628" TargetMode="External"/><Relationship Id="rId12" Type="http://schemas.openxmlformats.org/officeDocument/2006/relationships/hyperlink" Target="http://rns.trb.org/dproject.asp?n=28135" TargetMode="External"/><Relationship Id="rId33" Type="http://schemas.openxmlformats.org/officeDocument/2006/relationships/hyperlink" Target="http://rns.trb.org/dproject.asp?n=25871" TargetMode="External"/><Relationship Id="rId108" Type="http://schemas.openxmlformats.org/officeDocument/2006/relationships/hyperlink" Target="http://rns.trb.org/dproject.asp?n=15887" TargetMode="External"/><Relationship Id="rId129" Type="http://schemas.openxmlformats.org/officeDocument/2006/relationships/hyperlink" Target="http://rns.trb.org/dproject.asp?n=29214" TargetMode="External"/><Relationship Id="rId280" Type="http://schemas.openxmlformats.org/officeDocument/2006/relationships/hyperlink" Target="http://rns.trb.org/dproject.asp?n=13889" TargetMode="External"/><Relationship Id="rId54" Type="http://schemas.openxmlformats.org/officeDocument/2006/relationships/hyperlink" Target="http://rns.trb.org/dproject.asp?n=24738" TargetMode="External"/><Relationship Id="rId75" Type="http://schemas.openxmlformats.org/officeDocument/2006/relationships/hyperlink" Target="http://rns.trb.org/dproject.asp?n=13631" TargetMode="External"/><Relationship Id="rId96" Type="http://schemas.openxmlformats.org/officeDocument/2006/relationships/hyperlink" Target="http://rns.trb.org/dproject.asp?n=29245" TargetMode="External"/><Relationship Id="rId140" Type="http://schemas.openxmlformats.org/officeDocument/2006/relationships/hyperlink" Target="http://rns.trb.org/dproject.asp?n=27841" TargetMode="External"/><Relationship Id="rId161" Type="http://schemas.openxmlformats.org/officeDocument/2006/relationships/hyperlink" Target="http://rns.trb.org/dproject.asp?n=24815" TargetMode="External"/><Relationship Id="rId182" Type="http://schemas.openxmlformats.org/officeDocument/2006/relationships/hyperlink" Target="http://rns.trb.org/dproject.asp?n=17504" TargetMode="External"/><Relationship Id="rId217" Type="http://schemas.openxmlformats.org/officeDocument/2006/relationships/hyperlink" Target="http://rns.trb.org/dproject.asp?n=13539" TargetMode="External"/><Relationship Id="rId6" Type="http://schemas.openxmlformats.org/officeDocument/2006/relationships/hyperlink" Target="http://rns.trb.org/dproject.asp?n=29387" TargetMode="External"/><Relationship Id="rId238" Type="http://schemas.openxmlformats.org/officeDocument/2006/relationships/hyperlink" Target="http://rns.trb.org/dproject.asp?n=12749" TargetMode="External"/><Relationship Id="rId259" Type="http://schemas.openxmlformats.org/officeDocument/2006/relationships/hyperlink" Target="http://rns.trb.org/dproject.asp?n=25793" TargetMode="External"/><Relationship Id="rId23" Type="http://schemas.openxmlformats.org/officeDocument/2006/relationships/hyperlink" Target="http://rns.trb.org/dproject.asp?n=18561" TargetMode="External"/><Relationship Id="rId119" Type="http://schemas.openxmlformats.org/officeDocument/2006/relationships/hyperlink" Target="http://rns.trb.org/dproject.asp?n=12511" TargetMode="External"/><Relationship Id="rId270" Type="http://schemas.openxmlformats.org/officeDocument/2006/relationships/hyperlink" Target="http://rns.trb.org/dproject.asp?n=15883" TargetMode="External"/><Relationship Id="rId291" Type="http://schemas.openxmlformats.org/officeDocument/2006/relationships/hyperlink" Target="http://rns.trb.org/dproject.asp?n=19044" TargetMode="External"/><Relationship Id="rId44" Type="http://schemas.openxmlformats.org/officeDocument/2006/relationships/hyperlink" Target="http://rns.trb.org/dproject.asp?n=29383" TargetMode="External"/><Relationship Id="rId65" Type="http://schemas.openxmlformats.org/officeDocument/2006/relationships/hyperlink" Target="http://rns.trb.org/dproject.asp?n=14266" TargetMode="External"/><Relationship Id="rId86" Type="http://schemas.openxmlformats.org/officeDocument/2006/relationships/hyperlink" Target="http://rns.trb.org/dproject.asp?n=14214" TargetMode="External"/><Relationship Id="rId130" Type="http://schemas.openxmlformats.org/officeDocument/2006/relationships/hyperlink" Target="http://rns.trb.org/dproject.asp?n=29206" TargetMode="External"/><Relationship Id="rId151" Type="http://schemas.openxmlformats.org/officeDocument/2006/relationships/hyperlink" Target="http://rns.trb.org/dproject.asp?n=26040" TargetMode="External"/><Relationship Id="rId172" Type="http://schemas.openxmlformats.org/officeDocument/2006/relationships/hyperlink" Target="http://rns.trb.org/dproject.asp?n=20464" TargetMode="External"/><Relationship Id="rId193" Type="http://schemas.openxmlformats.org/officeDocument/2006/relationships/hyperlink" Target="http://rns.trb.org/dproject.asp?n=14257" TargetMode="External"/><Relationship Id="rId207" Type="http://schemas.openxmlformats.org/officeDocument/2006/relationships/hyperlink" Target="http://rns.trb.org/dproject.asp?n=13898" TargetMode="External"/><Relationship Id="rId228" Type="http://schemas.openxmlformats.org/officeDocument/2006/relationships/hyperlink" Target="http://rns.trb.org/dproject.asp?n=13041" TargetMode="External"/><Relationship Id="rId249" Type="http://schemas.openxmlformats.org/officeDocument/2006/relationships/hyperlink" Target="http://rns.trb.org/dproject.asp?n=12649" TargetMode="External"/><Relationship Id="rId13" Type="http://schemas.openxmlformats.org/officeDocument/2006/relationships/hyperlink" Target="http://rns.trb.org/dproject.asp?n=12754" TargetMode="External"/><Relationship Id="rId109" Type="http://schemas.openxmlformats.org/officeDocument/2006/relationships/hyperlink" Target="http://rns.trb.org/dproject.asp?n=14753" TargetMode="External"/><Relationship Id="rId260" Type="http://schemas.openxmlformats.org/officeDocument/2006/relationships/hyperlink" Target="http://rns.trb.org/dproject.asp?n=25790" TargetMode="External"/><Relationship Id="rId281" Type="http://schemas.openxmlformats.org/officeDocument/2006/relationships/hyperlink" Target="http://rns.trb.org/dproject.asp?n=13872" TargetMode="External"/><Relationship Id="rId34" Type="http://schemas.openxmlformats.org/officeDocument/2006/relationships/hyperlink" Target="http://rns.trb.org/dproject.asp?n=26609" TargetMode="External"/><Relationship Id="rId55" Type="http://schemas.openxmlformats.org/officeDocument/2006/relationships/hyperlink" Target="http://rns.trb.org/dproject.asp?n=24737" TargetMode="External"/><Relationship Id="rId76" Type="http://schemas.openxmlformats.org/officeDocument/2006/relationships/hyperlink" Target="http://rns.trb.org/dproject.asp?n=13632" TargetMode="External"/><Relationship Id="rId97" Type="http://schemas.openxmlformats.org/officeDocument/2006/relationships/hyperlink" Target="http://rns.trb.org/dproject.asp?n=29150" TargetMode="External"/><Relationship Id="rId120" Type="http://schemas.openxmlformats.org/officeDocument/2006/relationships/hyperlink" Target="http://rns.trb.org/dproject.asp?n=32623" TargetMode="External"/><Relationship Id="rId141" Type="http://schemas.openxmlformats.org/officeDocument/2006/relationships/hyperlink" Target="http://rns.trb.org/dproject.asp?n=27840" TargetMode="External"/><Relationship Id="rId7" Type="http://schemas.openxmlformats.org/officeDocument/2006/relationships/hyperlink" Target="http://rns.trb.org/dproject.asp?n=29367" TargetMode="External"/><Relationship Id="rId162" Type="http://schemas.openxmlformats.org/officeDocument/2006/relationships/hyperlink" Target="http://rns.trb.org/dproject.asp?n=24742" TargetMode="External"/><Relationship Id="rId183" Type="http://schemas.openxmlformats.org/officeDocument/2006/relationships/hyperlink" Target="http://rns.trb.org/dproject.asp?n=17232" TargetMode="External"/><Relationship Id="rId218" Type="http://schemas.openxmlformats.org/officeDocument/2006/relationships/hyperlink" Target="http://rns.trb.org/dproject.asp?n=13462" TargetMode="External"/><Relationship Id="rId239" Type="http://schemas.openxmlformats.org/officeDocument/2006/relationships/hyperlink" Target="http://rns.trb.org/dproject.asp?n=12727" TargetMode="External"/><Relationship Id="rId2" Type="http://schemas.openxmlformats.org/officeDocument/2006/relationships/hyperlink" Target="http://rns.trb.org/dproject.asp?n=28398" TargetMode="External"/><Relationship Id="rId29" Type="http://schemas.openxmlformats.org/officeDocument/2006/relationships/hyperlink" Target="http://rns.trb.org/dproject.asp?n=24821" TargetMode="External"/><Relationship Id="rId250" Type="http://schemas.openxmlformats.org/officeDocument/2006/relationships/hyperlink" Target="http://rns.trb.org/dproject.asp?n=12648" TargetMode="External"/><Relationship Id="rId255" Type="http://schemas.openxmlformats.org/officeDocument/2006/relationships/hyperlink" Target="http://rns.trb.org/dproject.asp?n=12517" TargetMode="External"/><Relationship Id="rId271" Type="http://schemas.openxmlformats.org/officeDocument/2006/relationships/hyperlink" Target="http://rns.trb.org/dproject.asp?n=14700" TargetMode="External"/><Relationship Id="rId276" Type="http://schemas.openxmlformats.org/officeDocument/2006/relationships/hyperlink" Target="http://rns.trb.org/dproject.asp?n=14145" TargetMode="External"/><Relationship Id="rId292" Type="http://schemas.openxmlformats.org/officeDocument/2006/relationships/hyperlink" Target="http://rns.trb.org/dproject.asp?n=15884" TargetMode="External"/><Relationship Id="rId297" Type="http://schemas.openxmlformats.org/officeDocument/2006/relationships/hyperlink" Target="http://rns.trb.org/dproject.asp?n=13470" TargetMode="External"/><Relationship Id="rId24" Type="http://schemas.openxmlformats.org/officeDocument/2006/relationships/hyperlink" Target="http://rns.trb.org/dproject.asp?n=19046" TargetMode="External"/><Relationship Id="rId40" Type="http://schemas.openxmlformats.org/officeDocument/2006/relationships/hyperlink" Target="http://rns.trb.org/dproject.asp?n=29859" TargetMode="External"/><Relationship Id="rId45" Type="http://schemas.openxmlformats.org/officeDocument/2006/relationships/hyperlink" Target="http://rns.trb.org/dproject.asp?n=29386" TargetMode="External"/><Relationship Id="rId66" Type="http://schemas.openxmlformats.org/officeDocument/2006/relationships/hyperlink" Target="http://rns.trb.org/dproject.asp?n=14259" TargetMode="External"/><Relationship Id="rId87" Type="http://schemas.openxmlformats.org/officeDocument/2006/relationships/hyperlink" Target="http://rns.trb.org/dproject.asp?n=14405" TargetMode="External"/><Relationship Id="rId110" Type="http://schemas.openxmlformats.org/officeDocument/2006/relationships/hyperlink" Target="http://rns.trb.org/dproject.asp?n=14385" TargetMode="External"/><Relationship Id="rId115" Type="http://schemas.openxmlformats.org/officeDocument/2006/relationships/hyperlink" Target="http://rns.trb.org/dproject.asp?n=13919" TargetMode="External"/><Relationship Id="rId131" Type="http://schemas.openxmlformats.org/officeDocument/2006/relationships/hyperlink" Target="http://rns.trb.org/dproject.asp?n=29205" TargetMode="External"/><Relationship Id="rId136" Type="http://schemas.openxmlformats.org/officeDocument/2006/relationships/hyperlink" Target="http://rns.trb.org/dproject.asp?n=27906" TargetMode="External"/><Relationship Id="rId157" Type="http://schemas.openxmlformats.org/officeDocument/2006/relationships/hyperlink" Target="http://rns.trb.org/dproject.asp?n=24849" TargetMode="External"/><Relationship Id="rId178" Type="http://schemas.openxmlformats.org/officeDocument/2006/relationships/hyperlink" Target="http://rns.trb.org/dproject.asp?n=18473" TargetMode="External"/><Relationship Id="rId301" Type="http://schemas.openxmlformats.org/officeDocument/2006/relationships/printerSettings" Target="../printerSettings/printerSettings2.bin"/><Relationship Id="rId61" Type="http://schemas.openxmlformats.org/officeDocument/2006/relationships/hyperlink" Target="http://rns.trb.org/dproject.asp?n=14892" TargetMode="External"/><Relationship Id="rId82" Type="http://schemas.openxmlformats.org/officeDocument/2006/relationships/hyperlink" Target="http://rns.trb.org/dproject.asp?n=14108" TargetMode="External"/><Relationship Id="rId152" Type="http://schemas.openxmlformats.org/officeDocument/2006/relationships/hyperlink" Target="http://rns.trb.org/dproject.asp?n=25878" TargetMode="External"/><Relationship Id="rId173" Type="http://schemas.openxmlformats.org/officeDocument/2006/relationships/hyperlink" Target="http://rns.trb.org/dproject.asp?n=20407" TargetMode="External"/><Relationship Id="rId194" Type="http://schemas.openxmlformats.org/officeDocument/2006/relationships/hyperlink" Target="http://rns.trb.org/dproject.asp?n=14249" TargetMode="External"/><Relationship Id="rId199" Type="http://schemas.openxmlformats.org/officeDocument/2006/relationships/hyperlink" Target="http://rns.trb.org/dproject.asp?n=14147" TargetMode="External"/><Relationship Id="rId203" Type="http://schemas.openxmlformats.org/officeDocument/2006/relationships/hyperlink" Target="http://rns.trb.org/dproject.asp?n=14043" TargetMode="External"/><Relationship Id="rId208" Type="http://schemas.openxmlformats.org/officeDocument/2006/relationships/hyperlink" Target="http://rns.trb.org/dproject.asp?n=13887" TargetMode="External"/><Relationship Id="rId229" Type="http://schemas.openxmlformats.org/officeDocument/2006/relationships/hyperlink" Target="http://rns.trb.org/dproject.asp?n=13011" TargetMode="External"/><Relationship Id="rId19" Type="http://schemas.openxmlformats.org/officeDocument/2006/relationships/hyperlink" Target="http://rns.trb.org/dproject.asp?n=14300" TargetMode="External"/><Relationship Id="rId224" Type="http://schemas.openxmlformats.org/officeDocument/2006/relationships/hyperlink" Target="http://rns.trb.org/dproject.asp?n=13335" TargetMode="External"/><Relationship Id="rId240" Type="http://schemas.openxmlformats.org/officeDocument/2006/relationships/hyperlink" Target="http://rns.trb.org/dproject.asp?n=12725" TargetMode="External"/><Relationship Id="rId245" Type="http://schemas.openxmlformats.org/officeDocument/2006/relationships/hyperlink" Target="http://rns.trb.org/dproject.asp?n=12662" TargetMode="External"/><Relationship Id="rId261" Type="http://schemas.openxmlformats.org/officeDocument/2006/relationships/hyperlink" Target="http://rns.trb.org/dproject.asp?n=25426" TargetMode="External"/><Relationship Id="rId266" Type="http://schemas.openxmlformats.org/officeDocument/2006/relationships/hyperlink" Target="http://rns.trb.org/dproject.asp?n=20749" TargetMode="External"/><Relationship Id="rId287" Type="http://schemas.openxmlformats.org/officeDocument/2006/relationships/hyperlink" Target="http://rns.trb.org/dproject.asp?n=12683" TargetMode="External"/><Relationship Id="rId14" Type="http://schemas.openxmlformats.org/officeDocument/2006/relationships/hyperlink" Target="http://rns.trb.org/dproject.asp?n=13099" TargetMode="External"/><Relationship Id="rId30" Type="http://schemas.openxmlformats.org/officeDocument/2006/relationships/hyperlink" Target="http://rns.trb.org/dproject.asp?n=25845" TargetMode="External"/><Relationship Id="rId35" Type="http://schemas.openxmlformats.org/officeDocument/2006/relationships/hyperlink" Target="http://rns.trb.org/dproject.asp?n=26730" TargetMode="External"/><Relationship Id="rId56" Type="http://schemas.openxmlformats.org/officeDocument/2006/relationships/hyperlink" Target="http://rns.trb.org/dproject.asp?n=24735" TargetMode="External"/><Relationship Id="rId77" Type="http://schemas.openxmlformats.org/officeDocument/2006/relationships/hyperlink" Target="http://rns.trb.org/dproject.asp?n=13633" TargetMode="External"/><Relationship Id="rId100" Type="http://schemas.openxmlformats.org/officeDocument/2006/relationships/hyperlink" Target="http://rns.trb.org/dproject.asp?n=27023" TargetMode="External"/><Relationship Id="rId105" Type="http://schemas.openxmlformats.org/officeDocument/2006/relationships/hyperlink" Target="http://rns.trb.org/dproject.asp?n=20068" TargetMode="External"/><Relationship Id="rId126" Type="http://schemas.openxmlformats.org/officeDocument/2006/relationships/hyperlink" Target="http://rns.trb.org/dproject.asp?n=29362" TargetMode="External"/><Relationship Id="rId147" Type="http://schemas.openxmlformats.org/officeDocument/2006/relationships/hyperlink" Target="http://rns.trb.org/dproject.asp?n=26923" TargetMode="External"/><Relationship Id="rId168" Type="http://schemas.openxmlformats.org/officeDocument/2006/relationships/hyperlink" Target="http://rns.trb.org/dproject.asp?n=21225" TargetMode="External"/><Relationship Id="rId282" Type="http://schemas.openxmlformats.org/officeDocument/2006/relationships/hyperlink" Target="http://rns.trb.org/dproject.asp?n=13726" TargetMode="External"/><Relationship Id="rId8" Type="http://schemas.openxmlformats.org/officeDocument/2006/relationships/hyperlink" Target="http://rns.trb.org/dproject.asp?n=29358" TargetMode="External"/><Relationship Id="rId51" Type="http://schemas.openxmlformats.org/officeDocument/2006/relationships/hyperlink" Target="http://rns.trb.org/dproject.asp?n=24727" TargetMode="External"/><Relationship Id="rId72" Type="http://schemas.openxmlformats.org/officeDocument/2006/relationships/hyperlink" Target="http://rns.trb.org/dproject.asp?n=12612" TargetMode="External"/><Relationship Id="rId93" Type="http://schemas.openxmlformats.org/officeDocument/2006/relationships/hyperlink" Target="http://rns.trb.org/dproject.asp?n=32328" TargetMode="External"/><Relationship Id="rId98" Type="http://schemas.openxmlformats.org/officeDocument/2006/relationships/hyperlink" Target="http://rns.trb.org/dproject.asp?n=28616" TargetMode="External"/><Relationship Id="rId121" Type="http://schemas.openxmlformats.org/officeDocument/2006/relationships/hyperlink" Target="http://rns.trb.org/dproject.asp?n=32316" TargetMode="External"/><Relationship Id="rId142" Type="http://schemas.openxmlformats.org/officeDocument/2006/relationships/hyperlink" Target="http://rns.trb.org/dproject.asp?n=27839" TargetMode="External"/><Relationship Id="rId163" Type="http://schemas.openxmlformats.org/officeDocument/2006/relationships/hyperlink" Target="http://rns.trb.org/dproject.asp?n=23011" TargetMode="External"/><Relationship Id="rId184" Type="http://schemas.openxmlformats.org/officeDocument/2006/relationships/hyperlink" Target="http://rns.trb.org/dproject.asp?n=15595" TargetMode="External"/><Relationship Id="rId189" Type="http://schemas.openxmlformats.org/officeDocument/2006/relationships/hyperlink" Target="http://rns.trb.org/dproject.asp?n=14473" TargetMode="External"/><Relationship Id="rId219" Type="http://schemas.openxmlformats.org/officeDocument/2006/relationships/hyperlink" Target="http://rns.trb.org/dproject.asp?n=13459" TargetMode="External"/><Relationship Id="rId3" Type="http://schemas.openxmlformats.org/officeDocument/2006/relationships/hyperlink" Target="http://rns.trb.org/dproject.asp?n=27908" TargetMode="External"/><Relationship Id="rId214" Type="http://schemas.openxmlformats.org/officeDocument/2006/relationships/hyperlink" Target="http://rns.trb.org/dproject.asp?n=13724" TargetMode="External"/><Relationship Id="rId230" Type="http://schemas.openxmlformats.org/officeDocument/2006/relationships/hyperlink" Target="http://rns.trb.org/dproject.asp?n=13004" TargetMode="External"/><Relationship Id="rId235" Type="http://schemas.openxmlformats.org/officeDocument/2006/relationships/hyperlink" Target="http://rns.trb.org/dproject.asp?n=12772" TargetMode="External"/><Relationship Id="rId251" Type="http://schemas.openxmlformats.org/officeDocument/2006/relationships/hyperlink" Target="http://rns.trb.org/dproject.asp?n=12643" TargetMode="External"/><Relationship Id="rId256" Type="http://schemas.openxmlformats.org/officeDocument/2006/relationships/hyperlink" Target="http://rns.trb.org/dproject.asp?n=29359" TargetMode="External"/><Relationship Id="rId277" Type="http://schemas.openxmlformats.org/officeDocument/2006/relationships/hyperlink" Target="http://rns.trb.org/dproject.asp?n=14118" TargetMode="External"/><Relationship Id="rId298" Type="http://schemas.openxmlformats.org/officeDocument/2006/relationships/hyperlink" Target="http://rns.trb.org/dproject.asp?n=13421" TargetMode="External"/><Relationship Id="rId25" Type="http://schemas.openxmlformats.org/officeDocument/2006/relationships/hyperlink" Target="http://rns.trb.org/dproject.asp?n=20637" TargetMode="External"/><Relationship Id="rId46" Type="http://schemas.openxmlformats.org/officeDocument/2006/relationships/hyperlink" Target="http://rns.trb.org/dproject.asp?n=29853" TargetMode="External"/><Relationship Id="rId67" Type="http://schemas.openxmlformats.org/officeDocument/2006/relationships/hyperlink" Target="http://rns.trb.org/dproject.asp?n=14115" TargetMode="External"/><Relationship Id="rId116" Type="http://schemas.openxmlformats.org/officeDocument/2006/relationships/hyperlink" Target="http://rns.trb.org/dproject.asp?n=13873" TargetMode="External"/><Relationship Id="rId137" Type="http://schemas.openxmlformats.org/officeDocument/2006/relationships/hyperlink" Target="http://rns.trb.org/dproject.asp?n=27894" TargetMode="External"/><Relationship Id="rId158" Type="http://schemas.openxmlformats.org/officeDocument/2006/relationships/hyperlink" Target="http://rns.trb.org/dproject.asp?n=24823" TargetMode="External"/><Relationship Id="rId272" Type="http://schemas.openxmlformats.org/officeDocument/2006/relationships/hyperlink" Target="http://rns.trb.org/dproject.asp?n=14295" TargetMode="External"/><Relationship Id="rId293" Type="http://schemas.openxmlformats.org/officeDocument/2006/relationships/hyperlink" Target="http://rns.trb.org/dproject.asp?n=14220" TargetMode="External"/><Relationship Id="rId20" Type="http://schemas.openxmlformats.org/officeDocument/2006/relationships/hyperlink" Target="http://rns.trb.org/dproject.asp?n=15234" TargetMode="External"/><Relationship Id="rId41" Type="http://schemas.openxmlformats.org/officeDocument/2006/relationships/hyperlink" Target="http://rns.trb.org/dproject.asp?n=29855" TargetMode="External"/><Relationship Id="rId62" Type="http://schemas.openxmlformats.org/officeDocument/2006/relationships/hyperlink" Target="http://rns.trb.org/dproject.asp?n=14289" TargetMode="External"/><Relationship Id="rId83" Type="http://schemas.openxmlformats.org/officeDocument/2006/relationships/hyperlink" Target="http://rns.trb.org/dproject.asp?n=14200" TargetMode="External"/><Relationship Id="rId88" Type="http://schemas.openxmlformats.org/officeDocument/2006/relationships/hyperlink" Target="http://rns.trb.org/dproject.asp?n=14260" TargetMode="External"/><Relationship Id="rId111" Type="http://schemas.openxmlformats.org/officeDocument/2006/relationships/hyperlink" Target="http://rns.trb.org/dproject.asp?n=14383" TargetMode="External"/><Relationship Id="rId132" Type="http://schemas.openxmlformats.org/officeDocument/2006/relationships/hyperlink" Target="http://rns.trb.org/dproject.asp?n=28854" TargetMode="External"/><Relationship Id="rId153" Type="http://schemas.openxmlformats.org/officeDocument/2006/relationships/hyperlink" Target="http://rns.trb.org/dproject.asp?n=25877" TargetMode="External"/><Relationship Id="rId174" Type="http://schemas.openxmlformats.org/officeDocument/2006/relationships/hyperlink" Target="http://rns.trb.org/dproject.asp?n=20067" TargetMode="External"/><Relationship Id="rId179" Type="http://schemas.openxmlformats.org/officeDocument/2006/relationships/hyperlink" Target="http://rns.trb.org/dproject.asp?n=17644" TargetMode="External"/><Relationship Id="rId195" Type="http://schemas.openxmlformats.org/officeDocument/2006/relationships/hyperlink" Target="http://rns.trb.org/dproject.asp?n=14217" TargetMode="External"/><Relationship Id="rId209" Type="http://schemas.openxmlformats.org/officeDocument/2006/relationships/hyperlink" Target="http://rns.trb.org/dproject.asp?n=13867" TargetMode="External"/><Relationship Id="rId190" Type="http://schemas.openxmlformats.org/officeDocument/2006/relationships/hyperlink" Target="http://rns.trb.org/dproject.asp?n=14384" TargetMode="External"/><Relationship Id="rId204" Type="http://schemas.openxmlformats.org/officeDocument/2006/relationships/hyperlink" Target="http://rns.trb.org/dproject.asp?n=14035" TargetMode="External"/><Relationship Id="rId220" Type="http://schemas.openxmlformats.org/officeDocument/2006/relationships/hyperlink" Target="http://rns.trb.org/dproject.asp?n=13448" TargetMode="External"/><Relationship Id="rId225" Type="http://schemas.openxmlformats.org/officeDocument/2006/relationships/hyperlink" Target="http://rns.trb.org/dproject.asp?n=13333" TargetMode="External"/><Relationship Id="rId241" Type="http://schemas.openxmlformats.org/officeDocument/2006/relationships/hyperlink" Target="http://rns.trb.org/dproject.asp?n=12720" TargetMode="External"/><Relationship Id="rId246" Type="http://schemas.openxmlformats.org/officeDocument/2006/relationships/hyperlink" Target="http://rns.trb.org/dproject.asp?n=12661" TargetMode="External"/><Relationship Id="rId267" Type="http://schemas.openxmlformats.org/officeDocument/2006/relationships/hyperlink" Target="http://rns.trb.org/dproject.asp?n=18441" TargetMode="External"/><Relationship Id="rId288" Type="http://schemas.openxmlformats.org/officeDocument/2006/relationships/hyperlink" Target="http://rns.trb.org/dproject.asp?n=12678" TargetMode="External"/><Relationship Id="rId15" Type="http://schemas.openxmlformats.org/officeDocument/2006/relationships/hyperlink" Target="http://rns.trb.org/dproject.asp?n=13868" TargetMode="External"/><Relationship Id="rId36" Type="http://schemas.openxmlformats.org/officeDocument/2006/relationships/hyperlink" Target="http://rns.trb.org/dproject.asp?n=26862" TargetMode="External"/><Relationship Id="rId57" Type="http://schemas.openxmlformats.org/officeDocument/2006/relationships/hyperlink" Target="http://rns.trb.org/dproject.asp?n=24368" TargetMode="External"/><Relationship Id="rId106" Type="http://schemas.openxmlformats.org/officeDocument/2006/relationships/hyperlink" Target="http://rns.trb.org/dproject.asp?n=19403" TargetMode="External"/><Relationship Id="rId127" Type="http://schemas.openxmlformats.org/officeDocument/2006/relationships/hyperlink" Target="http://rns.trb.org/dproject.asp?n=29234" TargetMode="External"/><Relationship Id="rId262" Type="http://schemas.openxmlformats.org/officeDocument/2006/relationships/hyperlink" Target="http://rns.trb.org/dproject.asp?n=24844" TargetMode="External"/><Relationship Id="rId283" Type="http://schemas.openxmlformats.org/officeDocument/2006/relationships/hyperlink" Target="http://rns.trb.org/dproject.asp?n=13045" TargetMode="External"/><Relationship Id="rId10" Type="http://schemas.openxmlformats.org/officeDocument/2006/relationships/hyperlink" Target="http://rns.trb.org/dproject.asp?n=29215" TargetMode="External"/><Relationship Id="rId31" Type="http://schemas.openxmlformats.org/officeDocument/2006/relationships/hyperlink" Target="http://rns.trb.org/dproject.asp?n=25852" TargetMode="External"/><Relationship Id="rId52" Type="http://schemas.openxmlformats.org/officeDocument/2006/relationships/hyperlink" Target="http://rns.trb.org/dproject.asp?n=22203" TargetMode="External"/><Relationship Id="rId73" Type="http://schemas.openxmlformats.org/officeDocument/2006/relationships/hyperlink" Target="http://rns.trb.org/dproject.asp?n=12698" TargetMode="External"/><Relationship Id="rId78" Type="http://schemas.openxmlformats.org/officeDocument/2006/relationships/hyperlink" Target="http://rns.trb.org/dproject.asp?n=13829" TargetMode="External"/><Relationship Id="rId94" Type="http://schemas.openxmlformats.org/officeDocument/2006/relationships/hyperlink" Target="http://rns.trb.org/dproject.asp?n=29365" TargetMode="External"/><Relationship Id="rId99" Type="http://schemas.openxmlformats.org/officeDocument/2006/relationships/hyperlink" Target="http://rns.trb.org/dproject.asp?n=27109" TargetMode="External"/><Relationship Id="rId101" Type="http://schemas.openxmlformats.org/officeDocument/2006/relationships/hyperlink" Target="http://rns.trb.org/dproject.asp?n=25868" TargetMode="External"/><Relationship Id="rId122" Type="http://schemas.openxmlformats.org/officeDocument/2006/relationships/hyperlink" Target="http://rns.trb.org/dproject.asp?n=32205" TargetMode="External"/><Relationship Id="rId143" Type="http://schemas.openxmlformats.org/officeDocument/2006/relationships/hyperlink" Target="http://rns.trb.org/dproject.asp?n=27379" TargetMode="External"/><Relationship Id="rId148" Type="http://schemas.openxmlformats.org/officeDocument/2006/relationships/hyperlink" Target="http://rns.trb.org/dproject.asp?n=26732" TargetMode="External"/><Relationship Id="rId164" Type="http://schemas.openxmlformats.org/officeDocument/2006/relationships/hyperlink" Target="http://rns.trb.org/dproject.asp?n=21904" TargetMode="External"/><Relationship Id="rId169" Type="http://schemas.openxmlformats.org/officeDocument/2006/relationships/hyperlink" Target="http://rns.trb.org/dproject.asp?n=20928" TargetMode="External"/><Relationship Id="rId185" Type="http://schemas.openxmlformats.org/officeDocument/2006/relationships/hyperlink" Target="http://rns.trb.org/dproject.asp?n=15589" TargetMode="External"/><Relationship Id="rId4" Type="http://schemas.openxmlformats.org/officeDocument/2006/relationships/hyperlink" Target="http://rns.trb.org/dproject.asp?n=27907" TargetMode="External"/><Relationship Id="rId9" Type="http://schemas.openxmlformats.org/officeDocument/2006/relationships/hyperlink" Target="http://rns.trb.org/dproject.asp?n=29233" TargetMode="External"/><Relationship Id="rId180" Type="http://schemas.openxmlformats.org/officeDocument/2006/relationships/hyperlink" Target="http://rns.trb.org/dproject.asp?n=17638" TargetMode="External"/><Relationship Id="rId210" Type="http://schemas.openxmlformats.org/officeDocument/2006/relationships/hyperlink" Target="http://rns.trb.org/dproject.asp?n=13817" TargetMode="External"/><Relationship Id="rId215" Type="http://schemas.openxmlformats.org/officeDocument/2006/relationships/hyperlink" Target="http://rns.trb.org/dproject.asp?n=13723" TargetMode="External"/><Relationship Id="rId236" Type="http://schemas.openxmlformats.org/officeDocument/2006/relationships/hyperlink" Target="http://rns.trb.org/dproject.asp?n=12766" TargetMode="External"/><Relationship Id="rId257" Type="http://schemas.openxmlformats.org/officeDocument/2006/relationships/hyperlink" Target="http://rns.trb.org/dproject.asp?n=25876" TargetMode="External"/><Relationship Id="rId278" Type="http://schemas.openxmlformats.org/officeDocument/2006/relationships/hyperlink" Target="http://rns.trb.org/dproject.asp?n=13914" TargetMode="External"/><Relationship Id="rId26" Type="http://schemas.openxmlformats.org/officeDocument/2006/relationships/hyperlink" Target="http://rns.trb.org/dproject.asp?n=21282" TargetMode="External"/><Relationship Id="rId231" Type="http://schemas.openxmlformats.org/officeDocument/2006/relationships/hyperlink" Target="http://rns.trb.org/dproject.asp?n=13003" TargetMode="External"/><Relationship Id="rId252" Type="http://schemas.openxmlformats.org/officeDocument/2006/relationships/hyperlink" Target="http://rns.trb.org/dproject.asp?n=12642" TargetMode="External"/><Relationship Id="rId273" Type="http://schemas.openxmlformats.org/officeDocument/2006/relationships/hyperlink" Target="http://rns.trb.org/dproject.asp?n=14292" TargetMode="External"/><Relationship Id="rId294" Type="http://schemas.openxmlformats.org/officeDocument/2006/relationships/hyperlink" Target="http://rns.trb.org/dproject.asp?n=14146" TargetMode="External"/><Relationship Id="rId47" Type="http://schemas.openxmlformats.org/officeDocument/2006/relationships/hyperlink" Target="http://rns.trb.org/dproject.asp?n=29385" TargetMode="External"/><Relationship Id="rId68" Type="http://schemas.openxmlformats.org/officeDocument/2006/relationships/hyperlink" Target="http://rns.trb.org/dproject.asp?n=13888" TargetMode="External"/><Relationship Id="rId89" Type="http://schemas.openxmlformats.org/officeDocument/2006/relationships/hyperlink" Target="http://rns.trb.org/dproject.asp?n=14282" TargetMode="External"/><Relationship Id="rId112" Type="http://schemas.openxmlformats.org/officeDocument/2006/relationships/hyperlink" Target="http://rns.trb.org/dproject.asp?n=14269" TargetMode="External"/><Relationship Id="rId133" Type="http://schemas.openxmlformats.org/officeDocument/2006/relationships/hyperlink" Target="http://rns.trb.org/dproject.asp?n=28338" TargetMode="External"/><Relationship Id="rId154" Type="http://schemas.openxmlformats.org/officeDocument/2006/relationships/hyperlink" Target="http://rns.trb.org/dproject.asp?n=25854" TargetMode="External"/><Relationship Id="rId175" Type="http://schemas.openxmlformats.org/officeDocument/2006/relationships/hyperlink" Target="http://rns.trb.org/dproject.asp?n=18983" TargetMode="External"/><Relationship Id="rId196" Type="http://schemas.openxmlformats.org/officeDocument/2006/relationships/hyperlink" Target="http://rns.trb.org/dproject.asp?n=14175" TargetMode="External"/><Relationship Id="rId200" Type="http://schemas.openxmlformats.org/officeDocument/2006/relationships/hyperlink" Target="http://rns.trb.org/dproject.asp?n=14144" TargetMode="External"/><Relationship Id="rId16" Type="http://schemas.openxmlformats.org/officeDocument/2006/relationships/hyperlink" Target="http://rns.trb.org/dproject.asp?n=13920" TargetMode="External"/><Relationship Id="rId221" Type="http://schemas.openxmlformats.org/officeDocument/2006/relationships/hyperlink" Target="http://rns.trb.org/dproject.asp?n=13441" TargetMode="External"/><Relationship Id="rId242" Type="http://schemas.openxmlformats.org/officeDocument/2006/relationships/hyperlink" Target="http://rns.trb.org/dproject.asp?n=12719" TargetMode="External"/><Relationship Id="rId263" Type="http://schemas.openxmlformats.org/officeDocument/2006/relationships/hyperlink" Target="http://rns.trb.org/dproject.asp?n=22502" TargetMode="External"/><Relationship Id="rId284" Type="http://schemas.openxmlformats.org/officeDocument/2006/relationships/hyperlink" Target="http://rns.trb.org/dproject.asp?n=13010" TargetMode="External"/><Relationship Id="rId37" Type="http://schemas.openxmlformats.org/officeDocument/2006/relationships/hyperlink" Target="http://rns.trb.org/dproject.asp?n=20835" TargetMode="External"/><Relationship Id="rId58" Type="http://schemas.openxmlformats.org/officeDocument/2006/relationships/hyperlink" Target="http://rns.trb.org/dproject.asp?n=15886" TargetMode="External"/><Relationship Id="rId79" Type="http://schemas.openxmlformats.org/officeDocument/2006/relationships/hyperlink" Target="http://rns.trb.org/dproject.asp?n=13844" TargetMode="External"/><Relationship Id="rId102" Type="http://schemas.openxmlformats.org/officeDocument/2006/relationships/hyperlink" Target="http://rns.trb.org/dproject.asp?n=22201" TargetMode="External"/><Relationship Id="rId123" Type="http://schemas.openxmlformats.org/officeDocument/2006/relationships/hyperlink" Target="http://rns.trb.org/dproject.asp?n=31838" TargetMode="External"/><Relationship Id="rId144" Type="http://schemas.openxmlformats.org/officeDocument/2006/relationships/hyperlink" Target="http://rns.trb.org/dproject.asp?n=27253" TargetMode="External"/><Relationship Id="rId90" Type="http://schemas.openxmlformats.org/officeDocument/2006/relationships/hyperlink" Target="http://rns.trb.org/dproject.asp?n=14206" TargetMode="External"/><Relationship Id="rId165" Type="http://schemas.openxmlformats.org/officeDocument/2006/relationships/hyperlink" Target="http://rns.trb.org/dproject.asp?n=21833" TargetMode="External"/><Relationship Id="rId186" Type="http://schemas.openxmlformats.org/officeDocument/2006/relationships/hyperlink" Target="http://rns.trb.org/dproject.asp?n=15575" TargetMode="External"/><Relationship Id="rId211" Type="http://schemas.openxmlformats.org/officeDocument/2006/relationships/hyperlink" Target="http://rns.trb.org/dproject.asp?n=13779" TargetMode="External"/><Relationship Id="rId232" Type="http://schemas.openxmlformats.org/officeDocument/2006/relationships/hyperlink" Target="http://rns.trb.org/dproject.asp?n=13000" TargetMode="External"/><Relationship Id="rId253" Type="http://schemas.openxmlformats.org/officeDocument/2006/relationships/hyperlink" Target="http://rns.trb.org/dproject.asp?n=12636" TargetMode="External"/><Relationship Id="rId274" Type="http://schemas.openxmlformats.org/officeDocument/2006/relationships/hyperlink" Target="http://rns.trb.org/dproject.asp?n=14247" TargetMode="External"/><Relationship Id="rId295" Type="http://schemas.openxmlformats.org/officeDocument/2006/relationships/hyperlink" Target="http://rns.trb.org/dproject.asp?n=14036" TargetMode="External"/><Relationship Id="rId27" Type="http://schemas.openxmlformats.org/officeDocument/2006/relationships/hyperlink" Target="http://rns.trb.org/dproject.asp?n=22202" TargetMode="External"/><Relationship Id="rId48" Type="http://schemas.openxmlformats.org/officeDocument/2006/relationships/hyperlink" Target="http://rns.trb.org/dproject.asp?n=27383" TargetMode="External"/><Relationship Id="rId69" Type="http://schemas.openxmlformats.org/officeDocument/2006/relationships/hyperlink" Target="http://rns.trb.org/dproject.asp?n=13546" TargetMode="External"/><Relationship Id="rId113" Type="http://schemas.openxmlformats.org/officeDocument/2006/relationships/hyperlink" Target="http://rns.trb.org/dproject.asp?n=14229" TargetMode="External"/><Relationship Id="rId134" Type="http://schemas.openxmlformats.org/officeDocument/2006/relationships/hyperlink" Target="http://rns.trb.org/dproject.asp?n=28137" TargetMode="External"/><Relationship Id="rId80" Type="http://schemas.openxmlformats.org/officeDocument/2006/relationships/hyperlink" Target="http://rns.trb.org/dproject.asp?n=13930" TargetMode="External"/><Relationship Id="rId155" Type="http://schemas.openxmlformats.org/officeDocument/2006/relationships/hyperlink" Target="http://rns.trb.org/dproject.asp?n=25341" TargetMode="External"/><Relationship Id="rId176" Type="http://schemas.openxmlformats.org/officeDocument/2006/relationships/hyperlink" Target="http://rns.trb.org/dproject.asp?n=18565" TargetMode="External"/><Relationship Id="rId197" Type="http://schemas.openxmlformats.org/officeDocument/2006/relationships/hyperlink" Target="http://rns.trb.org/dproject.asp?n=14173" TargetMode="External"/><Relationship Id="rId201" Type="http://schemas.openxmlformats.org/officeDocument/2006/relationships/hyperlink" Target="http://rns.trb.org/dproject.asp?n=14113" TargetMode="External"/><Relationship Id="rId222" Type="http://schemas.openxmlformats.org/officeDocument/2006/relationships/hyperlink" Target="http://rns.trb.org/dproject.asp?n=13424" TargetMode="External"/><Relationship Id="rId243" Type="http://schemas.openxmlformats.org/officeDocument/2006/relationships/hyperlink" Target="http://rns.trb.org/dproject.asp?n=12718" TargetMode="External"/><Relationship Id="rId264" Type="http://schemas.openxmlformats.org/officeDocument/2006/relationships/hyperlink" Target="http://rns.trb.org/dproject.asp?n=22501" TargetMode="External"/><Relationship Id="rId285" Type="http://schemas.openxmlformats.org/officeDocument/2006/relationships/hyperlink" Target="http://rns.trb.org/dproject.asp?n=12756" TargetMode="External"/><Relationship Id="rId17" Type="http://schemas.openxmlformats.org/officeDocument/2006/relationships/hyperlink" Target="http://rns.trb.org/dproject.asp?n=14153" TargetMode="External"/><Relationship Id="rId38" Type="http://schemas.openxmlformats.org/officeDocument/2006/relationships/hyperlink" Target="http://rns.trb.org/dproject.asp?n=31742" TargetMode="External"/><Relationship Id="rId59" Type="http://schemas.openxmlformats.org/officeDocument/2006/relationships/hyperlink" Target="http://rns.trb.org/dproject.asp?n=15379" TargetMode="External"/><Relationship Id="rId103" Type="http://schemas.openxmlformats.org/officeDocument/2006/relationships/hyperlink" Target="http://rns.trb.org/dproject.asp?n=21817" TargetMode="External"/><Relationship Id="rId124" Type="http://schemas.openxmlformats.org/officeDocument/2006/relationships/hyperlink" Target="http://rns.trb.org/dproject.asp?n=31793" TargetMode="External"/><Relationship Id="rId70" Type="http://schemas.openxmlformats.org/officeDocument/2006/relationships/hyperlink" Target="http://rns.trb.org/dproject.asp?n=13102" TargetMode="External"/><Relationship Id="rId91" Type="http://schemas.openxmlformats.org/officeDocument/2006/relationships/hyperlink" Target="http://rns.trb.org/dproject.asp?n=14210" TargetMode="External"/><Relationship Id="rId145" Type="http://schemas.openxmlformats.org/officeDocument/2006/relationships/hyperlink" Target="http://rns.trb.org/dproject.asp?n=27113" TargetMode="External"/><Relationship Id="rId166" Type="http://schemas.openxmlformats.org/officeDocument/2006/relationships/hyperlink" Target="http://rns.trb.org/dproject.asp?n=21826" TargetMode="External"/><Relationship Id="rId187" Type="http://schemas.openxmlformats.org/officeDocument/2006/relationships/hyperlink" Target="http://rns.trb.org/dproject.asp?n=15213" TargetMode="External"/><Relationship Id="rId1" Type="http://schemas.openxmlformats.org/officeDocument/2006/relationships/hyperlink" Target="http://rns.trb.org/dproject.asp?n=31683" TargetMode="External"/><Relationship Id="rId212" Type="http://schemas.openxmlformats.org/officeDocument/2006/relationships/hyperlink" Target="http://rns.trb.org/dproject.asp?n=13743" TargetMode="External"/><Relationship Id="rId233" Type="http://schemas.openxmlformats.org/officeDocument/2006/relationships/hyperlink" Target="http://rns.trb.org/dproject.asp?n=12994" TargetMode="External"/><Relationship Id="rId254" Type="http://schemas.openxmlformats.org/officeDocument/2006/relationships/hyperlink" Target="http://rns.trb.org/dproject.asp?n=12590" TargetMode="External"/><Relationship Id="rId28" Type="http://schemas.openxmlformats.org/officeDocument/2006/relationships/hyperlink" Target="http://rns.trb.org/dproject.asp?n=24818" TargetMode="External"/><Relationship Id="rId49" Type="http://schemas.openxmlformats.org/officeDocument/2006/relationships/hyperlink" Target="http://rns.trb.org/dproject.asp?n=27249" TargetMode="External"/><Relationship Id="rId114" Type="http://schemas.openxmlformats.org/officeDocument/2006/relationships/hyperlink" Target="http://rns.trb.org/dproject.asp?n=14205" TargetMode="External"/><Relationship Id="rId275" Type="http://schemas.openxmlformats.org/officeDocument/2006/relationships/hyperlink" Target="http://rns.trb.org/dproject.asp?n=14197" TargetMode="External"/><Relationship Id="rId296" Type="http://schemas.openxmlformats.org/officeDocument/2006/relationships/hyperlink" Target="http://rns.trb.org/dproject.asp?n=13543" TargetMode="External"/><Relationship Id="rId300" Type="http://schemas.openxmlformats.org/officeDocument/2006/relationships/hyperlink" Target="http://rns.trb.org/dproject.asp?n=25202" TargetMode="External"/><Relationship Id="rId60" Type="http://schemas.openxmlformats.org/officeDocument/2006/relationships/hyperlink" Target="http://rns.trb.org/dproject.asp?n=15226" TargetMode="External"/><Relationship Id="rId81" Type="http://schemas.openxmlformats.org/officeDocument/2006/relationships/hyperlink" Target="http://rns.trb.org/dproject.asp?n=14034" TargetMode="External"/><Relationship Id="rId135" Type="http://schemas.openxmlformats.org/officeDocument/2006/relationships/hyperlink" Target="http://rns.trb.org/dproject.asp?n=28124" TargetMode="External"/><Relationship Id="rId156" Type="http://schemas.openxmlformats.org/officeDocument/2006/relationships/hyperlink" Target="http://rns.trb.org/dproject.asp?n=25168" TargetMode="External"/><Relationship Id="rId177" Type="http://schemas.openxmlformats.org/officeDocument/2006/relationships/hyperlink" Target="http://rns.trb.org/dproject.asp?n=18562" TargetMode="External"/><Relationship Id="rId198" Type="http://schemas.openxmlformats.org/officeDocument/2006/relationships/hyperlink" Target="http://rns.trb.org/dproject.asp?n=14164" TargetMode="External"/><Relationship Id="rId202" Type="http://schemas.openxmlformats.org/officeDocument/2006/relationships/hyperlink" Target="http://rns.trb.org/dproject.asp?n=14112" TargetMode="External"/><Relationship Id="rId223" Type="http://schemas.openxmlformats.org/officeDocument/2006/relationships/hyperlink" Target="http://rns.trb.org/dproject.asp?n=13336" TargetMode="External"/><Relationship Id="rId244" Type="http://schemas.openxmlformats.org/officeDocument/2006/relationships/hyperlink" Target="http://rns.trb.org/dproject.asp?n=12669" TargetMode="External"/><Relationship Id="rId18" Type="http://schemas.openxmlformats.org/officeDocument/2006/relationships/hyperlink" Target="http://rns.trb.org/dproject.asp?n=14290" TargetMode="External"/><Relationship Id="rId39" Type="http://schemas.openxmlformats.org/officeDocument/2006/relationships/hyperlink" Target="http://rns.trb.org/dproject.asp?n=29852" TargetMode="External"/><Relationship Id="rId265" Type="http://schemas.openxmlformats.org/officeDocument/2006/relationships/hyperlink" Target="http://rns.trb.org/dproject.asp?n=21824" TargetMode="External"/><Relationship Id="rId286" Type="http://schemas.openxmlformats.org/officeDocument/2006/relationships/hyperlink" Target="http://rns.trb.org/dproject.asp?n=12750" TargetMode="External"/><Relationship Id="rId50" Type="http://schemas.openxmlformats.org/officeDocument/2006/relationships/hyperlink" Target="http://rns.trb.org/dproject.asp?n=24816" TargetMode="External"/><Relationship Id="rId104" Type="http://schemas.openxmlformats.org/officeDocument/2006/relationships/hyperlink" Target="http://rns.trb.org/dproject.asp?n=20408" TargetMode="External"/><Relationship Id="rId125" Type="http://schemas.openxmlformats.org/officeDocument/2006/relationships/hyperlink" Target="http://rns.trb.org/dproject.asp?n=30041" TargetMode="External"/><Relationship Id="rId146" Type="http://schemas.openxmlformats.org/officeDocument/2006/relationships/hyperlink" Target="http://rns.trb.org/dproject.asp?n=27105" TargetMode="External"/><Relationship Id="rId167" Type="http://schemas.openxmlformats.org/officeDocument/2006/relationships/hyperlink" Target="http://rns.trb.org/dproject.asp?n=21819" TargetMode="External"/><Relationship Id="rId188" Type="http://schemas.openxmlformats.org/officeDocument/2006/relationships/hyperlink" Target="http://rns.trb.org/dproject.asp?n=15184" TargetMode="External"/><Relationship Id="rId71" Type="http://schemas.openxmlformats.org/officeDocument/2006/relationships/hyperlink" Target="http://rns.trb.org/dproject.asp?n=13016" TargetMode="External"/><Relationship Id="rId92" Type="http://schemas.openxmlformats.org/officeDocument/2006/relationships/hyperlink" Target="http://rns.trb.org/dproject.asp?n=32336" TargetMode="External"/><Relationship Id="rId213" Type="http://schemas.openxmlformats.org/officeDocument/2006/relationships/hyperlink" Target="http://rns.trb.org/dproject.asp?n=13741" TargetMode="External"/><Relationship Id="rId234" Type="http://schemas.openxmlformats.org/officeDocument/2006/relationships/hyperlink" Target="http://rns.trb.org/dproject.asp?n=12773"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hyperlink" Target="http://rns.trb.org/dproject.asp?n=12750" TargetMode="External"/><Relationship Id="rId13" Type="http://schemas.openxmlformats.org/officeDocument/2006/relationships/hyperlink" Target="http://rns.trb.org/dproject.asp?n=13421" TargetMode="External"/><Relationship Id="rId18" Type="http://schemas.openxmlformats.org/officeDocument/2006/relationships/printerSettings" Target="../printerSettings/printerSettings6.bin"/><Relationship Id="rId3" Type="http://schemas.openxmlformats.org/officeDocument/2006/relationships/hyperlink" Target="http://rns.trb.org/dproject.asp?n=28124" TargetMode="External"/><Relationship Id="rId7" Type="http://schemas.openxmlformats.org/officeDocument/2006/relationships/hyperlink" Target="http://rns.trb.org/dproject.asp?n=12766" TargetMode="External"/><Relationship Id="rId12" Type="http://schemas.openxmlformats.org/officeDocument/2006/relationships/hyperlink" Target="http://rns.trb.org/dproject.asp?n=26730" TargetMode="External"/><Relationship Id="rId17" Type="http://schemas.openxmlformats.org/officeDocument/2006/relationships/hyperlink" Target="http://rns.trb.org/dproject.asp?n=14892" TargetMode="External"/><Relationship Id="rId2" Type="http://schemas.openxmlformats.org/officeDocument/2006/relationships/hyperlink" Target="http://rns.trb.org/dproject.asp?n=13632" TargetMode="External"/><Relationship Id="rId16" Type="http://schemas.openxmlformats.org/officeDocument/2006/relationships/hyperlink" Target="http://rns.trb.org/dproject.asp?n=17637" TargetMode="External"/><Relationship Id="rId1" Type="http://schemas.openxmlformats.org/officeDocument/2006/relationships/hyperlink" Target="http://rns.trb.org/dproject.asp?n=14112" TargetMode="External"/><Relationship Id="rId6" Type="http://schemas.openxmlformats.org/officeDocument/2006/relationships/hyperlink" Target="http://rns.trb.org/dproject.asp?n=27840" TargetMode="External"/><Relationship Id="rId11" Type="http://schemas.openxmlformats.org/officeDocument/2006/relationships/hyperlink" Target="http://rns.trb.org/dproject.asp?n=25877" TargetMode="External"/><Relationship Id="rId5" Type="http://schemas.openxmlformats.org/officeDocument/2006/relationships/hyperlink" Target="http://rns.trb.org/dproject.asp?n=27843" TargetMode="External"/><Relationship Id="rId15" Type="http://schemas.openxmlformats.org/officeDocument/2006/relationships/hyperlink" Target="http://rns.trb.org/dproject.asp?n=22202" TargetMode="External"/><Relationship Id="rId10" Type="http://schemas.openxmlformats.org/officeDocument/2006/relationships/hyperlink" Target="http://rns.trb.org/dproject.asp?n=15883" TargetMode="External"/><Relationship Id="rId4" Type="http://schemas.openxmlformats.org/officeDocument/2006/relationships/hyperlink" Target="http://rns.trb.org/dproject.asp?n=22203" TargetMode="External"/><Relationship Id="rId9" Type="http://schemas.openxmlformats.org/officeDocument/2006/relationships/hyperlink" Target="http://rns.trb.org/dproject.asp?n=25168" TargetMode="External"/><Relationship Id="rId14" Type="http://schemas.openxmlformats.org/officeDocument/2006/relationships/hyperlink" Target="http://rns.trb.org/dproject.asp?n=14153"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H29"/>
  <sheetViews>
    <sheetView tabSelected="1" workbookViewId="0">
      <selection activeCell="A5" sqref="A5"/>
    </sheetView>
  </sheetViews>
  <sheetFormatPr defaultRowHeight="15" x14ac:dyDescent="0.25"/>
  <cols>
    <col min="1" max="1" width="75.7109375" customWidth="1"/>
    <col min="3" max="3" width="13.85546875" customWidth="1"/>
    <col min="4" max="4" width="16.7109375" customWidth="1"/>
    <col min="5" max="5" width="41.5703125" customWidth="1"/>
    <col min="7" max="7" width="21.28515625" customWidth="1"/>
  </cols>
  <sheetData>
    <row r="1" spans="1:8" ht="15.75" x14ac:dyDescent="0.25">
      <c r="A1" s="115" t="s">
        <v>1227</v>
      </c>
      <c r="B1" s="115"/>
      <c r="C1" s="115"/>
    </row>
    <row r="2" spans="1:8" ht="15.75" thickBot="1" x14ac:dyDescent="0.3">
      <c r="C2" s="118" t="s">
        <v>1198</v>
      </c>
      <c r="D2" s="118"/>
      <c r="E2" s="118"/>
      <c r="F2" s="24"/>
      <c r="H2" s="24"/>
    </row>
    <row r="3" spans="1:8" ht="14.45" customHeight="1" x14ac:dyDescent="0.25">
      <c r="A3" s="117" t="s">
        <v>1228</v>
      </c>
      <c r="C3" s="35" t="s">
        <v>1175</v>
      </c>
      <c r="D3" s="36" t="s">
        <v>1225</v>
      </c>
      <c r="E3" s="37" t="s">
        <v>1180</v>
      </c>
      <c r="F3" s="24"/>
      <c r="H3" s="24"/>
    </row>
    <row r="4" spans="1:8" ht="45" customHeight="1" x14ac:dyDescent="0.25">
      <c r="A4" s="117"/>
      <c r="C4" s="29" t="s">
        <v>21</v>
      </c>
      <c r="D4" s="33" t="s">
        <v>1176</v>
      </c>
      <c r="E4" s="26" t="s">
        <v>1189</v>
      </c>
      <c r="F4" s="25"/>
      <c r="H4" s="25"/>
    </row>
    <row r="5" spans="1:8" ht="46.5" customHeight="1" x14ac:dyDescent="0.3">
      <c r="A5" s="1" t="s">
        <v>1174</v>
      </c>
      <c r="C5" s="30"/>
      <c r="D5" s="33" t="s">
        <v>59</v>
      </c>
      <c r="E5" s="26" t="s">
        <v>1190</v>
      </c>
      <c r="F5" s="25"/>
      <c r="G5" s="25"/>
      <c r="H5" s="25"/>
    </row>
    <row r="6" spans="1:8" ht="14.45" customHeight="1" x14ac:dyDescent="0.25">
      <c r="A6" s="116" t="s">
        <v>1200</v>
      </c>
      <c r="C6" s="30"/>
      <c r="D6" s="33" t="s">
        <v>60</v>
      </c>
      <c r="E6" s="27" t="s">
        <v>1191</v>
      </c>
      <c r="F6" s="22"/>
      <c r="G6" s="22"/>
      <c r="H6" s="22"/>
    </row>
    <row r="7" spans="1:8" ht="14.45" customHeight="1" x14ac:dyDescent="0.25">
      <c r="A7" s="116"/>
      <c r="C7" s="30"/>
      <c r="D7" s="33" t="s">
        <v>61</v>
      </c>
      <c r="E7" s="27" t="s">
        <v>1188</v>
      </c>
      <c r="F7" s="22"/>
      <c r="G7" s="22"/>
      <c r="H7" s="22"/>
    </row>
    <row r="8" spans="1:8" ht="92.25" customHeight="1" x14ac:dyDescent="0.25">
      <c r="A8" s="116"/>
      <c r="C8" s="30"/>
      <c r="D8" s="33" t="s">
        <v>62</v>
      </c>
      <c r="E8" s="26" t="s">
        <v>1186</v>
      </c>
      <c r="F8" s="22"/>
      <c r="G8" s="22"/>
      <c r="H8" s="22"/>
    </row>
    <row r="9" spans="1:8" ht="59.25" customHeight="1" x14ac:dyDescent="0.25">
      <c r="A9" s="1" t="s">
        <v>1196</v>
      </c>
      <c r="C9" s="30"/>
      <c r="D9" s="33" t="s">
        <v>63</v>
      </c>
      <c r="E9" s="26" t="s">
        <v>1187</v>
      </c>
      <c r="F9" s="22"/>
      <c r="G9" s="22"/>
      <c r="H9" s="22"/>
    </row>
    <row r="10" spans="1:8" ht="43.15" customHeight="1" x14ac:dyDescent="0.25">
      <c r="A10" s="116" t="s">
        <v>1201</v>
      </c>
      <c r="C10" s="30"/>
      <c r="D10" s="33" t="s">
        <v>64</v>
      </c>
      <c r="E10" s="26" t="s">
        <v>1185</v>
      </c>
      <c r="F10" s="22"/>
      <c r="G10" s="22"/>
      <c r="H10" s="22"/>
    </row>
    <row r="11" spans="1:8" x14ac:dyDescent="0.25">
      <c r="A11" s="116"/>
      <c r="C11" s="30"/>
      <c r="D11" s="33" t="s">
        <v>65</v>
      </c>
      <c r="E11" s="27" t="s">
        <v>1177</v>
      </c>
      <c r="F11" s="22"/>
      <c r="G11" s="22"/>
      <c r="H11" s="22"/>
    </row>
    <row r="12" spans="1:8" x14ac:dyDescent="0.25">
      <c r="A12" s="116"/>
      <c r="C12" s="30"/>
      <c r="D12" s="33" t="s">
        <v>66</v>
      </c>
      <c r="E12" s="27" t="s">
        <v>1184</v>
      </c>
      <c r="F12" s="22"/>
      <c r="G12" s="22"/>
      <c r="H12" s="22"/>
    </row>
    <row r="13" spans="1:8" ht="30" x14ac:dyDescent="0.25">
      <c r="A13" s="116"/>
      <c r="C13" s="29" t="s">
        <v>1178</v>
      </c>
      <c r="D13" s="33" t="s">
        <v>67</v>
      </c>
      <c r="E13" s="26" t="s">
        <v>1183</v>
      </c>
      <c r="F13" s="22"/>
      <c r="G13" s="22"/>
      <c r="H13" s="22"/>
    </row>
    <row r="14" spans="1:8" ht="31.5" customHeight="1" x14ac:dyDescent="0.25">
      <c r="A14" s="116"/>
      <c r="C14" s="30"/>
      <c r="D14" s="33" t="s">
        <v>68</v>
      </c>
      <c r="E14" s="26" t="s">
        <v>1181</v>
      </c>
      <c r="F14" s="22"/>
      <c r="G14" s="22"/>
      <c r="H14" s="22"/>
    </row>
    <row r="15" spans="1:8" ht="58.9" customHeight="1" x14ac:dyDescent="0.25">
      <c r="A15" s="38" t="s">
        <v>1197</v>
      </c>
      <c r="C15" s="30"/>
      <c r="D15" s="33" t="s">
        <v>69</v>
      </c>
      <c r="E15" s="26" t="s">
        <v>1195</v>
      </c>
      <c r="F15" s="22"/>
      <c r="G15" s="22"/>
      <c r="H15" s="22"/>
    </row>
    <row r="16" spans="1:8" ht="30.6" customHeight="1" x14ac:dyDescent="0.25">
      <c r="A16" s="116" t="s">
        <v>1202</v>
      </c>
      <c r="C16" s="30"/>
      <c r="D16" s="33" t="s">
        <v>70</v>
      </c>
      <c r="E16" s="26" t="s">
        <v>1182</v>
      </c>
      <c r="F16" s="22"/>
      <c r="G16" s="22"/>
      <c r="H16" s="22"/>
    </row>
    <row r="17" spans="1:8" x14ac:dyDescent="0.25">
      <c r="A17" s="116"/>
      <c r="C17" s="31" t="s">
        <v>187</v>
      </c>
      <c r="D17" s="33" t="s">
        <v>71</v>
      </c>
      <c r="E17" s="27" t="s">
        <v>1192</v>
      </c>
      <c r="F17" s="23"/>
      <c r="G17" s="23"/>
      <c r="H17" s="23"/>
    </row>
    <row r="18" spans="1:8" ht="30" x14ac:dyDescent="0.25">
      <c r="A18" s="116"/>
      <c r="C18" s="30"/>
      <c r="D18" s="33" t="s">
        <v>72</v>
      </c>
      <c r="E18" s="26" t="s">
        <v>1193</v>
      </c>
      <c r="F18" s="23"/>
      <c r="G18" s="23"/>
      <c r="H18" s="23"/>
    </row>
    <row r="19" spans="1:8" ht="47.25" customHeight="1" x14ac:dyDescent="0.25">
      <c r="A19" s="116"/>
      <c r="C19" s="30"/>
      <c r="D19" s="33" t="s">
        <v>73</v>
      </c>
      <c r="E19" s="26" t="s">
        <v>1194</v>
      </c>
      <c r="F19" s="22"/>
      <c r="G19" s="22"/>
      <c r="H19" s="22"/>
    </row>
    <row r="20" spans="1:8" ht="30.75" thickBot="1" x14ac:dyDescent="0.3">
      <c r="A20" s="116"/>
      <c r="C20" s="32"/>
      <c r="D20" s="34" t="s">
        <v>74</v>
      </c>
      <c r="E20" s="28" t="s">
        <v>1179</v>
      </c>
      <c r="F20" s="23"/>
      <c r="G20" s="23"/>
      <c r="H20" s="23"/>
    </row>
    <row r="21" spans="1:8" x14ac:dyDescent="0.25">
      <c r="A21" s="116"/>
    </row>
    <row r="22" spans="1:8" x14ac:dyDescent="0.25">
      <c r="A22" s="116"/>
    </row>
    <row r="23" spans="1:8" x14ac:dyDescent="0.25">
      <c r="A23" s="116"/>
    </row>
    <row r="24" spans="1:8" x14ac:dyDescent="0.25">
      <c r="A24" s="116"/>
    </row>
    <row r="25" spans="1:8" x14ac:dyDescent="0.25">
      <c r="A25" s="116"/>
    </row>
    <row r="26" spans="1:8" x14ac:dyDescent="0.25">
      <c r="A26" s="116"/>
    </row>
    <row r="27" spans="1:8" x14ac:dyDescent="0.25">
      <c r="A27" s="116"/>
    </row>
    <row r="28" spans="1:8" x14ac:dyDescent="0.25">
      <c r="A28" s="116"/>
    </row>
    <row r="29" spans="1:8" x14ac:dyDescent="0.25">
      <c r="A29" s="116"/>
    </row>
  </sheetData>
  <mergeCells count="6">
    <mergeCell ref="A1:C1"/>
    <mergeCell ref="A10:A14"/>
    <mergeCell ref="A6:A8"/>
    <mergeCell ref="A3:A4"/>
    <mergeCell ref="A16:A29"/>
    <mergeCell ref="C2:E2"/>
  </mergeCells>
  <pageMargins left="0.7" right="0.7" top="0.75" bottom="0.75" header="0.3" footer="0.3"/>
  <pageSetup orientation="portrait" horizontalDpi="30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A327"/>
  <sheetViews>
    <sheetView zoomScaleNormal="100" workbookViewId="0">
      <pane ySplit="2" topLeftCell="A3" activePane="bottomLeft" state="frozen"/>
      <selection pane="bottomLeft" activeCell="D58" sqref="D58"/>
    </sheetView>
  </sheetViews>
  <sheetFormatPr defaultColWidth="8.85546875" defaultRowHeight="15" x14ac:dyDescent="0.25"/>
  <cols>
    <col min="1" max="1" width="43.140625" style="2" customWidth="1"/>
    <col min="2" max="2" width="36.85546875" style="2" customWidth="1"/>
    <col min="3" max="3" width="11.7109375" style="4" customWidth="1"/>
    <col min="4" max="4" width="35" style="2" customWidth="1"/>
    <col min="5" max="5" width="23.28515625" style="2" customWidth="1"/>
    <col min="6" max="10" width="11.85546875" style="2" customWidth="1"/>
    <col min="11" max="13" width="14.140625" style="2" customWidth="1"/>
    <col min="14" max="15" width="22.28515625" style="4" customWidth="1"/>
    <col min="16" max="22" width="16.7109375" style="2" customWidth="1"/>
    <col min="23" max="23" width="11.85546875" style="4" customWidth="1"/>
    <col min="24" max="24" width="8.85546875" style="4" customWidth="1"/>
    <col min="25" max="25" width="6.42578125" style="4" customWidth="1"/>
    <col min="26" max="26" width="6.85546875" style="4" customWidth="1"/>
    <col min="27" max="16384" width="8.85546875" style="4"/>
  </cols>
  <sheetData>
    <row r="1" spans="1:26" ht="14.45" x14ac:dyDescent="0.3">
      <c r="W1" s="119" t="s">
        <v>186</v>
      </c>
      <c r="X1" s="119"/>
      <c r="Y1" s="119"/>
      <c r="Z1" s="119"/>
    </row>
    <row r="2" spans="1:26" ht="13.9" customHeight="1" x14ac:dyDescent="0.3">
      <c r="A2" s="11" t="s">
        <v>0</v>
      </c>
      <c r="B2" s="11" t="s">
        <v>51</v>
      </c>
      <c r="C2" s="12" t="s">
        <v>49</v>
      </c>
      <c r="D2" s="11" t="s">
        <v>1</v>
      </c>
      <c r="E2" s="11" t="s">
        <v>50</v>
      </c>
      <c r="F2" s="11" t="s">
        <v>52</v>
      </c>
      <c r="G2" s="11" t="s">
        <v>52</v>
      </c>
      <c r="H2" s="11" t="s">
        <v>52</v>
      </c>
      <c r="I2" s="11" t="s">
        <v>52</v>
      </c>
      <c r="J2" s="11" t="s">
        <v>52</v>
      </c>
      <c r="K2" s="11" t="s">
        <v>57</v>
      </c>
      <c r="L2" s="11" t="s">
        <v>57</v>
      </c>
      <c r="M2" s="11" t="s">
        <v>57</v>
      </c>
      <c r="N2" s="11" t="s">
        <v>10</v>
      </c>
      <c r="O2" s="12" t="s">
        <v>11</v>
      </c>
      <c r="P2" s="11" t="s">
        <v>12</v>
      </c>
      <c r="Q2" s="11" t="s">
        <v>12</v>
      </c>
      <c r="R2" s="11" t="s">
        <v>12</v>
      </c>
      <c r="S2" s="11" t="s">
        <v>12</v>
      </c>
      <c r="T2" s="11" t="s">
        <v>12</v>
      </c>
      <c r="U2" s="11" t="s">
        <v>12</v>
      </c>
      <c r="V2" s="11" t="s">
        <v>12</v>
      </c>
      <c r="W2" s="12" t="s">
        <v>21</v>
      </c>
      <c r="X2" s="12" t="s">
        <v>187</v>
      </c>
      <c r="Y2" s="12" t="s">
        <v>56</v>
      </c>
      <c r="Z2" s="13" t="s">
        <v>188</v>
      </c>
    </row>
    <row r="3" spans="1:26" ht="13.9" customHeight="1" x14ac:dyDescent="0.3">
      <c r="A3" s="2" t="s">
        <v>590</v>
      </c>
      <c r="B3" s="14" t="s">
        <v>591</v>
      </c>
      <c r="C3" s="3">
        <v>41165</v>
      </c>
      <c r="D3" s="2" t="s">
        <v>1226</v>
      </c>
      <c r="E3" s="2" t="s">
        <v>589</v>
      </c>
      <c r="F3" s="2" t="s">
        <v>21</v>
      </c>
      <c r="G3" s="2" t="s">
        <v>55</v>
      </c>
      <c r="K3" s="2" t="s">
        <v>75</v>
      </c>
      <c r="N3" s="2" t="s">
        <v>5</v>
      </c>
      <c r="O3" s="2" t="s">
        <v>6</v>
      </c>
      <c r="P3" s="2" t="s">
        <v>16</v>
      </c>
      <c r="Q3" s="2" t="s">
        <v>38</v>
      </c>
      <c r="R3" s="2" t="s">
        <v>45</v>
      </c>
      <c r="S3" s="2" t="s">
        <v>47</v>
      </c>
      <c r="T3" s="2" t="s">
        <v>39</v>
      </c>
      <c r="W3" s="4">
        <v>0</v>
      </c>
      <c r="X3" s="4">
        <v>0</v>
      </c>
      <c r="Y3" s="4">
        <v>0.5</v>
      </c>
      <c r="Z3" s="4">
        <v>0.5</v>
      </c>
    </row>
    <row r="4" spans="1:26" ht="14.45" customHeight="1" x14ac:dyDescent="0.3">
      <c r="A4" s="2" t="s">
        <v>468</v>
      </c>
      <c r="B4" s="6" t="s">
        <v>472</v>
      </c>
      <c r="C4" s="3">
        <v>41137</v>
      </c>
      <c r="D4" s="2" t="s">
        <v>469</v>
      </c>
      <c r="E4" s="2" t="s">
        <v>470</v>
      </c>
      <c r="F4" s="2" t="s">
        <v>45</v>
      </c>
      <c r="G4" s="2" t="s">
        <v>21</v>
      </c>
      <c r="K4" s="2" t="s">
        <v>68</v>
      </c>
      <c r="N4" s="2" t="s">
        <v>5</v>
      </c>
      <c r="O4" s="2" t="s">
        <v>6</v>
      </c>
      <c r="P4" s="2" t="s">
        <v>25</v>
      </c>
      <c r="Q4" s="2" t="s">
        <v>17</v>
      </c>
      <c r="R4" s="2" t="s">
        <v>43</v>
      </c>
      <c r="W4" s="4">
        <v>0</v>
      </c>
      <c r="X4" s="4">
        <v>0</v>
      </c>
      <c r="Y4" s="4">
        <v>0.5</v>
      </c>
      <c r="Z4" s="4">
        <v>0.5</v>
      </c>
    </row>
    <row r="5" spans="1:26" ht="14.45" customHeight="1" x14ac:dyDescent="0.3">
      <c r="A5" s="2" t="s">
        <v>471</v>
      </c>
      <c r="B5" s="6" t="s">
        <v>473</v>
      </c>
      <c r="C5" s="3">
        <v>41137</v>
      </c>
      <c r="D5" s="2" t="s">
        <v>474</v>
      </c>
      <c r="E5" s="2" t="s">
        <v>475</v>
      </c>
      <c r="F5" s="2" t="s">
        <v>45</v>
      </c>
      <c r="K5" s="2" t="s">
        <v>68</v>
      </c>
      <c r="N5" s="2" t="s">
        <v>5</v>
      </c>
      <c r="O5" s="2"/>
      <c r="P5" s="2" t="s">
        <v>25</v>
      </c>
      <c r="Q5" s="2" t="s">
        <v>38</v>
      </c>
      <c r="R5" s="2" t="s">
        <v>43</v>
      </c>
      <c r="S5" s="2" t="s">
        <v>19</v>
      </c>
      <c r="T5" s="2" t="s">
        <v>34</v>
      </c>
      <c r="W5" s="4">
        <v>0</v>
      </c>
      <c r="X5" s="4">
        <v>0</v>
      </c>
      <c r="Y5" s="4">
        <v>0.5</v>
      </c>
      <c r="Z5" s="4">
        <f t="shared" ref="Z5:Z68" si="0">SUM(W5:Y5)</f>
        <v>0.5</v>
      </c>
    </row>
    <row r="6" spans="1:26" ht="14.45" customHeight="1" x14ac:dyDescent="0.3">
      <c r="A6" s="2" t="s">
        <v>592</v>
      </c>
      <c r="B6" s="15" t="s">
        <v>593</v>
      </c>
      <c r="C6" s="3">
        <v>41135</v>
      </c>
      <c r="D6" s="2" t="s">
        <v>594</v>
      </c>
      <c r="E6" s="2" t="s">
        <v>470</v>
      </c>
      <c r="F6" s="2" t="s">
        <v>21</v>
      </c>
      <c r="K6" s="2" t="s">
        <v>68</v>
      </c>
      <c r="N6" s="2" t="s">
        <v>5</v>
      </c>
      <c r="O6" s="2" t="s">
        <v>8</v>
      </c>
      <c r="P6" s="2" t="s">
        <v>25</v>
      </c>
      <c r="Q6" s="2" t="s">
        <v>17</v>
      </c>
      <c r="R6" s="2" t="s">
        <v>43</v>
      </c>
      <c r="S6" s="2" t="s">
        <v>15</v>
      </c>
      <c r="W6" s="4">
        <v>0</v>
      </c>
      <c r="X6" s="4">
        <v>0</v>
      </c>
      <c r="Y6" s="4">
        <v>0.5</v>
      </c>
      <c r="Z6" s="4">
        <f t="shared" si="0"/>
        <v>0.5</v>
      </c>
    </row>
    <row r="7" spans="1:26" ht="14.45" customHeight="1" x14ac:dyDescent="0.3">
      <c r="A7" s="2" t="s">
        <v>595</v>
      </c>
      <c r="B7" s="15" t="s">
        <v>597</v>
      </c>
      <c r="C7" s="3">
        <v>41123</v>
      </c>
      <c r="D7" s="2" t="s">
        <v>596</v>
      </c>
      <c r="E7" s="2" t="s">
        <v>475</v>
      </c>
      <c r="F7" s="2" t="s">
        <v>21</v>
      </c>
      <c r="K7" s="2" t="s">
        <v>68</v>
      </c>
      <c r="N7" s="2" t="s">
        <v>5</v>
      </c>
      <c r="O7" s="2" t="s">
        <v>8</v>
      </c>
      <c r="P7" s="2" t="s">
        <v>25</v>
      </c>
      <c r="Q7" s="2" t="s">
        <v>17</v>
      </c>
      <c r="R7" s="2" t="s">
        <v>38</v>
      </c>
      <c r="S7" s="2" t="s">
        <v>43</v>
      </c>
      <c r="W7" s="4">
        <v>0</v>
      </c>
      <c r="X7" s="4">
        <v>0</v>
      </c>
      <c r="Y7" s="4">
        <v>0.5</v>
      </c>
      <c r="Z7" s="4">
        <f t="shared" si="0"/>
        <v>0.5</v>
      </c>
    </row>
    <row r="8" spans="1:26" ht="14.45" customHeight="1" x14ac:dyDescent="0.3">
      <c r="A8" s="2" t="s">
        <v>598</v>
      </c>
      <c r="B8" s="15" t="s">
        <v>599</v>
      </c>
      <c r="C8" s="3">
        <v>41078</v>
      </c>
      <c r="D8" s="2" t="s">
        <v>600</v>
      </c>
      <c r="E8" s="2" t="s">
        <v>206</v>
      </c>
      <c r="F8" s="2" t="s">
        <v>21</v>
      </c>
      <c r="K8" s="2" t="s">
        <v>72</v>
      </c>
      <c r="N8" s="2" t="s">
        <v>4</v>
      </c>
      <c r="O8" s="2" t="s">
        <v>5</v>
      </c>
      <c r="P8" s="2" t="s">
        <v>40</v>
      </c>
      <c r="Q8" s="2" t="s">
        <v>38</v>
      </c>
      <c r="R8" s="2" t="s">
        <v>47</v>
      </c>
      <c r="S8" s="2" t="s">
        <v>34</v>
      </c>
      <c r="T8" s="2" t="s">
        <v>39</v>
      </c>
      <c r="W8" s="4">
        <v>0</v>
      </c>
      <c r="X8" s="4">
        <v>0.5</v>
      </c>
      <c r="Y8" s="4">
        <v>0</v>
      </c>
      <c r="Z8" s="4">
        <f t="shared" si="0"/>
        <v>0.5</v>
      </c>
    </row>
    <row r="9" spans="1:26" ht="14.45" customHeight="1" x14ac:dyDescent="0.3">
      <c r="A9" s="2" t="s">
        <v>601</v>
      </c>
      <c r="B9" s="15" t="s">
        <v>602</v>
      </c>
      <c r="C9" s="3">
        <v>41071</v>
      </c>
      <c r="D9" s="2" t="s">
        <v>603</v>
      </c>
      <c r="E9" s="2" t="s">
        <v>173</v>
      </c>
      <c r="F9" s="2" t="s">
        <v>21</v>
      </c>
      <c r="N9" s="2" t="s">
        <v>4</v>
      </c>
      <c r="O9" s="2" t="s">
        <v>5</v>
      </c>
      <c r="P9" s="2" t="s">
        <v>13</v>
      </c>
      <c r="Q9" s="2" t="s">
        <v>29</v>
      </c>
      <c r="R9" s="2" t="s">
        <v>15</v>
      </c>
      <c r="W9" s="4">
        <v>0</v>
      </c>
      <c r="X9" s="4">
        <v>0</v>
      </c>
      <c r="Y9" s="4">
        <v>0</v>
      </c>
      <c r="Z9" s="4">
        <f t="shared" si="0"/>
        <v>0</v>
      </c>
    </row>
    <row r="10" spans="1:26" ht="14.45" customHeight="1" x14ac:dyDescent="0.3">
      <c r="A10" s="2" t="s">
        <v>312</v>
      </c>
      <c r="B10" s="5" t="s">
        <v>313</v>
      </c>
      <c r="C10" s="3">
        <v>41051</v>
      </c>
      <c r="D10" s="2" t="s">
        <v>315</v>
      </c>
      <c r="E10" s="2" t="s">
        <v>314</v>
      </c>
      <c r="F10" s="2" t="s">
        <v>56</v>
      </c>
      <c r="K10" s="2" t="s">
        <v>69</v>
      </c>
      <c r="L10" s="2" t="s">
        <v>67</v>
      </c>
      <c r="N10" s="2" t="s">
        <v>5</v>
      </c>
      <c r="O10" s="2" t="s">
        <v>6</v>
      </c>
      <c r="P10" s="2" t="s">
        <v>40</v>
      </c>
      <c r="Q10" s="2" t="s">
        <v>16</v>
      </c>
      <c r="W10" s="4">
        <v>0</v>
      </c>
      <c r="X10" s="4">
        <v>0</v>
      </c>
      <c r="Y10" s="4">
        <v>0.5</v>
      </c>
      <c r="Z10" s="4">
        <f t="shared" si="0"/>
        <v>0.5</v>
      </c>
    </row>
    <row r="11" spans="1:26" ht="14.45" customHeight="1" x14ac:dyDescent="0.3">
      <c r="A11" s="4" t="s">
        <v>77</v>
      </c>
      <c r="B11" s="5" t="s">
        <v>76</v>
      </c>
      <c r="C11" s="3">
        <v>41047</v>
      </c>
      <c r="D11" s="2" t="s">
        <v>78</v>
      </c>
      <c r="E11" s="4" t="s">
        <v>79</v>
      </c>
      <c r="F11" s="2" t="s">
        <v>55</v>
      </c>
      <c r="N11" s="4" t="s">
        <v>8</v>
      </c>
      <c r="P11" s="2" t="s">
        <v>25</v>
      </c>
      <c r="Q11" s="2" t="s">
        <v>37</v>
      </c>
      <c r="R11" s="2" t="s">
        <v>16</v>
      </c>
      <c r="S11" s="2" t="s">
        <v>17</v>
      </c>
      <c r="W11" s="4">
        <v>0</v>
      </c>
      <c r="X11" s="4">
        <v>0</v>
      </c>
      <c r="Y11" s="4">
        <v>0</v>
      </c>
      <c r="Z11" s="4">
        <f t="shared" si="0"/>
        <v>0</v>
      </c>
    </row>
    <row r="12" spans="1:26" ht="14.45" customHeight="1" x14ac:dyDescent="0.3">
      <c r="A12" s="4" t="s">
        <v>605</v>
      </c>
      <c r="B12" s="6" t="s">
        <v>606</v>
      </c>
      <c r="C12" s="3">
        <v>41037</v>
      </c>
      <c r="D12" s="2" t="s">
        <v>607</v>
      </c>
      <c r="E12" s="4" t="s">
        <v>604</v>
      </c>
      <c r="F12" s="2" t="s">
        <v>21</v>
      </c>
      <c r="K12" s="2" t="s">
        <v>72</v>
      </c>
      <c r="N12" s="4" t="s">
        <v>5</v>
      </c>
      <c r="O12" s="4" t="s">
        <v>8</v>
      </c>
      <c r="P12" s="2" t="s">
        <v>40</v>
      </c>
      <c r="Q12" s="2" t="s">
        <v>41</v>
      </c>
      <c r="R12" s="2" t="s">
        <v>13</v>
      </c>
      <c r="S12" s="2" t="s">
        <v>38</v>
      </c>
      <c r="T12" s="2" t="s">
        <v>39</v>
      </c>
      <c r="W12" s="4">
        <v>0</v>
      </c>
      <c r="X12" s="4">
        <v>0.5</v>
      </c>
      <c r="Y12" s="4">
        <v>0</v>
      </c>
      <c r="Z12" s="4">
        <f t="shared" si="0"/>
        <v>0.5</v>
      </c>
    </row>
    <row r="13" spans="1:26" ht="14.45" customHeight="1" x14ac:dyDescent="0.3">
      <c r="A13" s="4" t="s">
        <v>316</v>
      </c>
      <c r="B13" s="6" t="s">
        <v>324</v>
      </c>
      <c r="C13" s="3">
        <v>40994</v>
      </c>
      <c r="D13" s="2" t="s">
        <v>317</v>
      </c>
      <c r="E13" s="4" t="s">
        <v>314</v>
      </c>
      <c r="F13" s="2" t="s">
        <v>56</v>
      </c>
      <c r="K13" s="2" t="s">
        <v>68</v>
      </c>
      <c r="L13" s="2" t="s">
        <v>72</v>
      </c>
      <c r="N13" s="4" t="s">
        <v>8</v>
      </c>
      <c r="P13" s="2" t="s">
        <v>40</v>
      </c>
      <c r="Q13" s="2" t="s">
        <v>34</v>
      </c>
      <c r="R13" s="2" t="s">
        <v>22</v>
      </c>
      <c r="W13" s="4">
        <v>0</v>
      </c>
      <c r="X13" s="4">
        <v>0</v>
      </c>
      <c r="Y13" s="4">
        <v>0.5</v>
      </c>
      <c r="Z13" s="4">
        <f t="shared" si="0"/>
        <v>0.5</v>
      </c>
    </row>
    <row r="14" spans="1:26" ht="14.45" customHeight="1" x14ac:dyDescent="0.25">
      <c r="A14" s="4" t="s">
        <v>319</v>
      </c>
      <c r="B14" s="6" t="s">
        <v>325</v>
      </c>
      <c r="C14" s="3">
        <v>40991</v>
      </c>
      <c r="D14" s="2" t="s">
        <v>320</v>
      </c>
      <c r="E14" s="4" t="s">
        <v>318</v>
      </c>
      <c r="F14" s="2" t="s">
        <v>56</v>
      </c>
      <c r="G14" s="2" t="s">
        <v>45</v>
      </c>
      <c r="K14" s="2" t="s">
        <v>72</v>
      </c>
      <c r="L14" s="2" t="s">
        <v>71</v>
      </c>
      <c r="N14" s="4" t="s">
        <v>6</v>
      </c>
      <c r="P14" s="2" t="s">
        <v>13</v>
      </c>
      <c r="Q14" s="2" t="s">
        <v>47</v>
      </c>
      <c r="R14" s="2" t="s">
        <v>22</v>
      </c>
      <c r="S14" s="2" t="s">
        <v>18</v>
      </c>
      <c r="W14" s="4">
        <v>0</v>
      </c>
      <c r="X14" s="4">
        <v>0.5</v>
      </c>
      <c r="Y14" s="4">
        <v>0</v>
      </c>
      <c r="Z14" s="4">
        <f t="shared" si="0"/>
        <v>0.5</v>
      </c>
    </row>
    <row r="15" spans="1:26" ht="14.45" customHeight="1" x14ac:dyDescent="0.3">
      <c r="A15" s="4" t="s">
        <v>321</v>
      </c>
      <c r="B15" s="6" t="s">
        <v>343</v>
      </c>
      <c r="C15" s="3">
        <v>40990</v>
      </c>
      <c r="D15" s="2" t="s">
        <v>360</v>
      </c>
      <c r="E15" s="4" t="s">
        <v>185</v>
      </c>
      <c r="F15" s="2" t="s">
        <v>56</v>
      </c>
      <c r="G15" s="2" t="s">
        <v>21</v>
      </c>
      <c r="K15" s="2" t="s">
        <v>68</v>
      </c>
      <c r="N15" s="4" t="s">
        <v>7</v>
      </c>
      <c r="O15" s="4" t="s">
        <v>9</v>
      </c>
      <c r="P15" s="2" t="s">
        <v>25</v>
      </c>
      <c r="Q15" s="2" t="s">
        <v>37</v>
      </c>
      <c r="R15" s="2" t="s">
        <v>7</v>
      </c>
      <c r="S15" s="2" t="s">
        <v>17</v>
      </c>
      <c r="T15" s="2" t="s">
        <v>15</v>
      </c>
      <c r="W15" s="4">
        <v>0</v>
      </c>
      <c r="X15" s="4">
        <v>0</v>
      </c>
      <c r="Y15" s="4">
        <v>0.5</v>
      </c>
      <c r="Z15" s="4">
        <f t="shared" si="0"/>
        <v>0.5</v>
      </c>
    </row>
    <row r="16" spans="1:26" ht="14.45" customHeight="1" x14ac:dyDescent="0.3">
      <c r="A16" s="4" t="s">
        <v>322</v>
      </c>
      <c r="B16" s="6" t="s">
        <v>323</v>
      </c>
      <c r="C16" s="3">
        <v>40990</v>
      </c>
      <c r="D16" s="2" t="s">
        <v>326</v>
      </c>
      <c r="E16" s="4" t="s">
        <v>185</v>
      </c>
      <c r="F16" s="2" t="s">
        <v>56</v>
      </c>
      <c r="G16" s="2" t="s">
        <v>21</v>
      </c>
      <c r="N16" s="4" t="s">
        <v>9</v>
      </c>
      <c r="O16" s="4" t="s">
        <v>7</v>
      </c>
      <c r="P16" s="2" t="s">
        <v>25</v>
      </c>
      <c r="Q16" s="2" t="s">
        <v>37</v>
      </c>
      <c r="R16" s="2" t="s">
        <v>7</v>
      </c>
      <c r="S16" s="2" t="s">
        <v>17</v>
      </c>
      <c r="T16" s="2" t="s">
        <v>15</v>
      </c>
      <c r="W16" s="4">
        <v>0</v>
      </c>
      <c r="X16" s="4">
        <v>0</v>
      </c>
      <c r="Y16" s="4">
        <v>0</v>
      </c>
      <c r="Z16" s="4">
        <f t="shared" si="0"/>
        <v>0</v>
      </c>
    </row>
    <row r="17" spans="1:26" ht="14.45" customHeight="1" x14ac:dyDescent="0.3">
      <c r="A17" s="2" t="s">
        <v>182</v>
      </c>
      <c r="B17" s="6" t="s">
        <v>183</v>
      </c>
      <c r="C17" s="3">
        <v>40981</v>
      </c>
      <c r="D17" s="2" t="s">
        <v>184</v>
      </c>
      <c r="E17" s="9" t="s">
        <v>185</v>
      </c>
      <c r="F17" s="2" t="s">
        <v>54</v>
      </c>
      <c r="G17" s="2" t="s">
        <v>56</v>
      </c>
      <c r="H17" s="2" t="s">
        <v>21</v>
      </c>
      <c r="I17" s="2" t="s">
        <v>187</v>
      </c>
      <c r="K17" s="2" t="s">
        <v>72</v>
      </c>
      <c r="L17" s="2" t="s">
        <v>68</v>
      </c>
      <c r="M17" s="2" t="s">
        <v>62</v>
      </c>
      <c r="N17" s="4" t="s">
        <v>7</v>
      </c>
      <c r="O17" s="4" t="s">
        <v>9</v>
      </c>
      <c r="P17" s="2" t="s">
        <v>25</v>
      </c>
      <c r="Q17" s="2" t="s">
        <v>37</v>
      </c>
      <c r="R17" s="2" t="s">
        <v>7</v>
      </c>
      <c r="S17" s="2" t="s">
        <v>17</v>
      </c>
      <c r="T17" s="2" t="s">
        <v>15</v>
      </c>
      <c r="W17" s="4">
        <v>0.5</v>
      </c>
      <c r="X17" s="4">
        <v>0.5</v>
      </c>
      <c r="Y17" s="4">
        <v>0</v>
      </c>
      <c r="Z17" s="4">
        <f t="shared" si="0"/>
        <v>1</v>
      </c>
    </row>
    <row r="18" spans="1:26" ht="14.45" customHeight="1" x14ac:dyDescent="0.3">
      <c r="A18" s="4" t="s">
        <v>327</v>
      </c>
      <c r="B18" s="6" t="s">
        <v>331</v>
      </c>
      <c r="C18" s="3">
        <v>40981</v>
      </c>
      <c r="D18" s="2" t="s">
        <v>328</v>
      </c>
      <c r="E18" s="4" t="s">
        <v>185</v>
      </c>
      <c r="F18" s="2" t="s">
        <v>56</v>
      </c>
      <c r="G18" s="2" t="s">
        <v>21</v>
      </c>
      <c r="N18" s="4" t="s">
        <v>8</v>
      </c>
      <c r="O18" s="4" t="s">
        <v>9</v>
      </c>
      <c r="P18" s="2" t="s">
        <v>25</v>
      </c>
      <c r="Q18" s="2" t="s">
        <v>37</v>
      </c>
      <c r="R18" s="2" t="s">
        <v>7</v>
      </c>
      <c r="S18" s="2" t="s">
        <v>17</v>
      </c>
      <c r="T18" s="2" t="s">
        <v>15</v>
      </c>
      <c r="W18" s="4">
        <v>0</v>
      </c>
      <c r="X18" s="4">
        <v>0</v>
      </c>
      <c r="Y18" s="4">
        <v>0</v>
      </c>
      <c r="Z18" s="4">
        <f t="shared" si="0"/>
        <v>0</v>
      </c>
    </row>
    <row r="19" spans="1:26" ht="14.45" customHeight="1" x14ac:dyDescent="0.3">
      <c r="A19" s="4" t="s">
        <v>329</v>
      </c>
      <c r="B19" s="6" t="s">
        <v>330</v>
      </c>
      <c r="C19" s="3">
        <v>40981</v>
      </c>
      <c r="D19" s="2" t="s">
        <v>332</v>
      </c>
      <c r="E19" s="4" t="s">
        <v>185</v>
      </c>
      <c r="F19" s="2" t="s">
        <v>56</v>
      </c>
      <c r="G19" s="2" t="s">
        <v>21</v>
      </c>
      <c r="H19" s="2" t="s">
        <v>187</v>
      </c>
      <c r="N19" s="4" t="s">
        <v>7</v>
      </c>
      <c r="O19" s="4" t="s">
        <v>9</v>
      </c>
      <c r="P19" s="2" t="s">
        <v>25</v>
      </c>
      <c r="Q19" s="2" t="s">
        <v>37</v>
      </c>
      <c r="R19" s="2" t="s">
        <v>7</v>
      </c>
      <c r="S19" s="2" t="s">
        <v>17</v>
      </c>
      <c r="T19" s="2" t="s">
        <v>15</v>
      </c>
      <c r="W19" s="4">
        <v>0</v>
      </c>
      <c r="X19" s="4">
        <v>0</v>
      </c>
      <c r="Y19" s="4">
        <v>0</v>
      </c>
      <c r="Z19" s="4">
        <f t="shared" si="0"/>
        <v>0</v>
      </c>
    </row>
    <row r="20" spans="1:26" ht="14.45" customHeight="1" x14ac:dyDescent="0.3">
      <c r="A20" s="2" t="s">
        <v>333</v>
      </c>
      <c r="B20" s="6" t="s">
        <v>342</v>
      </c>
      <c r="C20" s="3">
        <v>40981</v>
      </c>
      <c r="D20" s="2" t="s">
        <v>334</v>
      </c>
      <c r="E20" s="9" t="s">
        <v>185</v>
      </c>
      <c r="F20" s="2" t="s">
        <v>56</v>
      </c>
      <c r="G20" s="2" t="s">
        <v>21</v>
      </c>
      <c r="N20" s="4" t="s">
        <v>9</v>
      </c>
      <c r="O20" s="4" t="s">
        <v>7</v>
      </c>
      <c r="P20" s="2" t="s">
        <v>25</v>
      </c>
      <c r="Q20" s="2" t="s">
        <v>37</v>
      </c>
      <c r="R20" s="2" t="s">
        <v>7</v>
      </c>
      <c r="S20" s="2" t="s">
        <v>17</v>
      </c>
      <c r="T20" s="2" t="s">
        <v>15</v>
      </c>
      <c r="W20" s="4">
        <v>0</v>
      </c>
      <c r="X20" s="4">
        <v>0</v>
      </c>
      <c r="Y20" s="4">
        <v>0</v>
      </c>
      <c r="Z20" s="4">
        <f t="shared" si="0"/>
        <v>0</v>
      </c>
    </row>
    <row r="21" spans="1:26" ht="14.45" customHeight="1" x14ac:dyDescent="0.3">
      <c r="A21" s="2" t="s">
        <v>335</v>
      </c>
      <c r="B21" s="6" t="s">
        <v>344</v>
      </c>
      <c r="C21" s="3">
        <v>40981</v>
      </c>
      <c r="D21" s="2" t="s">
        <v>336</v>
      </c>
      <c r="E21" s="9" t="s">
        <v>185</v>
      </c>
      <c r="F21" s="2" t="s">
        <v>56</v>
      </c>
      <c r="G21" s="2" t="s">
        <v>21</v>
      </c>
      <c r="N21" s="4" t="s">
        <v>7</v>
      </c>
      <c r="O21" s="4" t="s">
        <v>9</v>
      </c>
      <c r="P21" s="2" t="s">
        <v>25</v>
      </c>
      <c r="Q21" s="2" t="s">
        <v>37</v>
      </c>
      <c r="R21" s="2" t="s">
        <v>7</v>
      </c>
      <c r="S21" s="2" t="s">
        <v>17</v>
      </c>
      <c r="T21" s="2" t="s">
        <v>15</v>
      </c>
      <c r="W21" s="4">
        <v>0</v>
      </c>
      <c r="X21" s="4">
        <v>0</v>
      </c>
      <c r="Y21" s="4">
        <v>0</v>
      </c>
      <c r="Z21" s="4">
        <f t="shared" si="0"/>
        <v>0</v>
      </c>
    </row>
    <row r="22" spans="1:26" ht="14.45" customHeight="1" x14ac:dyDescent="0.3">
      <c r="A22" s="2" t="s">
        <v>338</v>
      </c>
      <c r="B22" s="6" t="s">
        <v>339</v>
      </c>
      <c r="C22" s="3">
        <v>40981</v>
      </c>
      <c r="D22" s="2" t="s">
        <v>337</v>
      </c>
      <c r="E22" s="9" t="s">
        <v>185</v>
      </c>
      <c r="F22" s="2" t="s">
        <v>56</v>
      </c>
      <c r="G22" s="2" t="s">
        <v>21</v>
      </c>
      <c r="N22" s="4" t="s">
        <v>9</v>
      </c>
      <c r="O22" s="4" t="s">
        <v>7</v>
      </c>
      <c r="P22" s="2" t="s">
        <v>25</v>
      </c>
      <c r="Q22" s="2" t="s">
        <v>37</v>
      </c>
      <c r="R22" s="2" t="s">
        <v>7</v>
      </c>
      <c r="S22" s="2" t="s">
        <v>17</v>
      </c>
      <c r="T22" s="2" t="s">
        <v>15</v>
      </c>
      <c r="W22" s="4">
        <v>0</v>
      </c>
      <c r="X22" s="4">
        <v>0</v>
      </c>
      <c r="Y22" s="4">
        <v>0</v>
      </c>
      <c r="Z22" s="4">
        <f t="shared" si="0"/>
        <v>0</v>
      </c>
    </row>
    <row r="23" spans="1:26" ht="14.45" customHeight="1" x14ac:dyDescent="0.25">
      <c r="A23" s="2" t="s">
        <v>340</v>
      </c>
      <c r="B23" s="6" t="s">
        <v>341</v>
      </c>
      <c r="C23" s="3">
        <v>40981</v>
      </c>
      <c r="D23" s="2" t="s">
        <v>347</v>
      </c>
      <c r="E23" s="9" t="s">
        <v>185</v>
      </c>
      <c r="F23" s="2" t="s">
        <v>56</v>
      </c>
      <c r="G23" s="2" t="s">
        <v>21</v>
      </c>
      <c r="N23" s="4" t="s">
        <v>7</v>
      </c>
      <c r="P23" s="2" t="s">
        <v>25</v>
      </c>
      <c r="Q23" s="2" t="s">
        <v>37</v>
      </c>
      <c r="R23" s="2" t="s">
        <v>7</v>
      </c>
      <c r="S23" s="2" t="s">
        <v>17</v>
      </c>
      <c r="T23" s="2" t="s">
        <v>15</v>
      </c>
      <c r="W23" s="4">
        <v>0</v>
      </c>
      <c r="X23" s="4">
        <v>0</v>
      </c>
      <c r="Y23" s="4">
        <v>0</v>
      </c>
      <c r="Z23" s="4">
        <f t="shared" si="0"/>
        <v>0</v>
      </c>
    </row>
    <row r="24" spans="1:26" ht="14.45" customHeight="1" x14ac:dyDescent="0.25">
      <c r="A24" s="2" t="s">
        <v>189</v>
      </c>
      <c r="B24" s="6" t="s">
        <v>190</v>
      </c>
      <c r="C24" s="3">
        <v>40976</v>
      </c>
      <c r="D24" s="2" t="s">
        <v>191</v>
      </c>
      <c r="E24" s="9" t="s">
        <v>177</v>
      </c>
      <c r="F24" s="2" t="s">
        <v>54</v>
      </c>
      <c r="G24" s="2" t="s">
        <v>187</v>
      </c>
      <c r="K24" s="2" t="s">
        <v>72</v>
      </c>
      <c r="N24" s="4" t="s">
        <v>7</v>
      </c>
      <c r="O24" s="4" t="s">
        <v>9</v>
      </c>
      <c r="P24" s="2" t="s">
        <v>25</v>
      </c>
      <c r="Q24" s="2" t="s">
        <v>17</v>
      </c>
      <c r="R24" s="2" t="s">
        <v>35</v>
      </c>
      <c r="S24" s="2" t="s">
        <v>24</v>
      </c>
      <c r="W24" s="4">
        <v>0</v>
      </c>
      <c r="X24" s="4">
        <v>0.5</v>
      </c>
      <c r="Y24" s="4">
        <v>0</v>
      </c>
      <c r="Z24" s="4">
        <f t="shared" si="0"/>
        <v>0.5</v>
      </c>
    </row>
    <row r="25" spans="1:26" ht="14.45" customHeight="1" x14ac:dyDescent="0.25">
      <c r="A25" s="2" t="s">
        <v>608</v>
      </c>
      <c r="B25" s="6" t="s">
        <v>609</v>
      </c>
      <c r="C25" s="3">
        <v>40975</v>
      </c>
      <c r="D25" s="2" t="s">
        <v>610</v>
      </c>
      <c r="E25" s="9" t="s">
        <v>483</v>
      </c>
      <c r="F25" s="2" t="s">
        <v>21</v>
      </c>
      <c r="N25" s="4" t="s">
        <v>9</v>
      </c>
      <c r="O25" s="4" t="s">
        <v>7</v>
      </c>
      <c r="P25" s="2" t="s">
        <v>25</v>
      </c>
      <c r="Q25" s="2" t="s">
        <v>29</v>
      </c>
      <c r="R25" s="2" t="s">
        <v>31</v>
      </c>
      <c r="S25" s="2" t="s">
        <v>15</v>
      </c>
      <c r="W25" s="4">
        <v>0</v>
      </c>
      <c r="X25" s="4">
        <v>0</v>
      </c>
      <c r="Y25" s="4">
        <v>0</v>
      </c>
      <c r="Z25" s="4">
        <f t="shared" si="0"/>
        <v>0</v>
      </c>
    </row>
    <row r="26" spans="1:26" ht="14.45" customHeight="1" x14ac:dyDescent="0.25">
      <c r="A26" s="2" t="s">
        <v>476</v>
      </c>
      <c r="B26" s="6" t="s">
        <v>477</v>
      </c>
      <c r="C26" s="3">
        <v>40975</v>
      </c>
      <c r="D26" s="2" t="s">
        <v>478</v>
      </c>
      <c r="E26" s="9" t="s">
        <v>479</v>
      </c>
      <c r="F26" s="2" t="s">
        <v>45</v>
      </c>
      <c r="N26" s="4" t="s">
        <v>7</v>
      </c>
      <c r="P26" s="2" t="s">
        <v>7</v>
      </c>
      <c r="Q26" s="2" t="s">
        <v>17</v>
      </c>
      <c r="R26" s="2" t="s">
        <v>31</v>
      </c>
      <c r="S26" s="2" t="s">
        <v>42</v>
      </c>
      <c r="T26" s="2" t="s">
        <v>15</v>
      </c>
      <c r="W26" s="4">
        <v>0</v>
      </c>
      <c r="X26" s="4">
        <v>0</v>
      </c>
      <c r="Y26" s="4">
        <v>0</v>
      </c>
      <c r="Z26" s="4">
        <f t="shared" si="0"/>
        <v>0</v>
      </c>
    </row>
    <row r="27" spans="1:26" ht="14.45" customHeight="1" x14ac:dyDescent="0.25">
      <c r="A27" s="2" t="s">
        <v>1033</v>
      </c>
      <c r="B27" s="6" t="s">
        <v>1034</v>
      </c>
      <c r="C27" s="3">
        <v>40974</v>
      </c>
      <c r="D27" s="2" t="s">
        <v>1035</v>
      </c>
      <c r="E27" s="9" t="s">
        <v>483</v>
      </c>
      <c r="F27" s="2" t="s">
        <v>187</v>
      </c>
      <c r="K27" s="2" t="s">
        <v>68</v>
      </c>
      <c r="L27" s="2" t="s">
        <v>72</v>
      </c>
      <c r="N27" s="4" t="s">
        <v>7</v>
      </c>
      <c r="O27" s="4" t="s">
        <v>9</v>
      </c>
      <c r="P27" s="2" t="s">
        <v>25</v>
      </c>
      <c r="Q27" s="2" t="s">
        <v>17</v>
      </c>
      <c r="R27" s="2" t="s">
        <v>24</v>
      </c>
      <c r="S27" s="2" t="s">
        <v>15</v>
      </c>
      <c r="W27" s="4">
        <v>0</v>
      </c>
      <c r="X27" s="4">
        <v>0.5</v>
      </c>
      <c r="Y27" s="4">
        <v>0.5</v>
      </c>
      <c r="Z27" s="4">
        <f t="shared" si="0"/>
        <v>1</v>
      </c>
    </row>
    <row r="28" spans="1:26" ht="14.45" customHeight="1" x14ac:dyDescent="0.25">
      <c r="A28" s="2" t="s">
        <v>192</v>
      </c>
      <c r="B28" s="6" t="s">
        <v>193</v>
      </c>
      <c r="C28" s="3">
        <v>40974</v>
      </c>
      <c r="D28" s="2" t="s">
        <v>194</v>
      </c>
      <c r="E28" s="9" t="s">
        <v>195</v>
      </c>
      <c r="F28" s="2" t="s">
        <v>54</v>
      </c>
      <c r="K28" s="2" t="s">
        <v>64</v>
      </c>
      <c r="N28" s="4" t="s">
        <v>4</v>
      </c>
      <c r="P28" s="2" t="s">
        <v>25</v>
      </c>
      <c r="Q28" s="2" t="s">
        <v>29</v>
      </c>
      <c r="R28" s="2" t="s">
        <v>38</v>
      </c>
      <c r="S28" s="2" t="s">
        <v>20</v>
      </c>
      <c r="T28" s="2" t="s">
        <v>21</v>
      </c>
      <c r="W28" s="4">
        <v>0.5</v>
      </c>
      <c r="X28" s="4">
        <v>0</v>
      </c>
      <c r="Y28" s="4">
        <v>0</v>
      </c>
      <c r="Z28" s="4">
        <f t="shared" si="0"/>
        <v>0.5</v>
      </c>
    </row>
    <row r="29" spans="1:26" ht="14.45" customHeight="1" x14ac:dyDescent="0.25">
      <c r="A29" s="2" t="s">
        <v>480</v>
      </c>
      <c r="B29" s="6" t="s">
        <v>481</v>
      </c>
      <c r="C29" s="3">
        <v>40974</v>
      </c>
      <c r="D29" s="2" t="s">
        <v>482</v>
      </c>
      <c r="E29" s="9" t="s">
        <v>483</v>
      </c>
      <c r="F29" s="2" t="s">
        <v>45</v>
      </c>
      <c r="N29" s="4" t="s">
        <v>9</v>
      </c>
      <c r="P29" s="2" t="s">
        <v>7</v>
      </c>
      <c r="Q29" s="2" t="s">
        <v>17</v>
      </c>
      <c r="R29" s="2" t="s">
        <v>29</v>
      </c>
      <c r="S29" s="2" t="s">
        <v>31</v>
      </c>
      <c r="T29" s="2" t="s">
        <v>15</v>
      </c>
      <c r="W29" s="4">
        <v>0</v>
      </c>
      <c r="X29" s="4">
        <v>0</v>
      </c>
      <c r="Y29" s="4">
        <v>0</v>
      </c>
      <c r="Z29" s="4">
        <f t="shared" si="0"/>
        <v>0</v>
      </c>
    </row>
    <row r="30" spans="1:26" ht="14.45" customHeight="1" x14ac:dyDescent="0.25">
      <c r="A30" s="2" t="s">
        <v>484</v>
      </c>
      <c r="B30" s="6" t="s">
        <v>485</v>
      </c>
      <c r="C30" s="3">
        <v>40938</v>
      </c>
      <c r="D30" s="2" t="s">
        <v>486</v>
      </c>
      <c r="E30" s="9" t="s">
        <v>487</v>
      </c>
      <c r="F30" s="2" t="s">
        <v>45</v>
      </c>
      <c r="G30" s="2" t="s">
        <v>21</v>
      </c>
      <c r="H30" s="2" t="s">
        <v>187</v>
      </c>
      <c r="K30" s="2" t="s">
        <v>72</v>
      </c>
      <c r="N30" s="4" t="s">
        <v>9</v>
      </c>
      <c r="P30" s="2" t="s">
        <v>25</v>
      </c>
      <c r="Q30" s="2" t="s">
        <v>26</v>
      </c>
      <c r="R30" s="2" t="s">
        <v>21</v>
      </c>
      <c r="W30" s="4">
        <v>0</v>
      </c>
      <c r="X30" s="4">
        <v>0.5</v>
      </c>
      <c r="Y30" s="4">
        <v>0</v>
      </c>
      <c r="Z30" s="4">
        <f t="shared" si="0"/>
        <v>0.5</v>
      </c>
    </row>
    <row r="31" spans="1:26" ht="14.45" customHeight="1" x14ac:dyDescent="0.25">
      <c r="A31" s="2" t="s">
        <v>611</v>
      </c>
      <c r="B31" s="6" t="s">
        <v>612</v>
      </c>
      <c r="C31" s="3">
        <v>40931</v>
      </c>
      <c r="D31" s="2" t="s">
        <v>613</v>
      </c>
      <c r="E31" s="9" t="s">
        <v>302</v>
      </c>
      <c r="F31" s="2" t="s">
        <v>21</v>
      </c>
      <c r="K31" s="2" t="s">
        <v>72</v>
      </c>
      <c r="N31" s="4" t="s">
        <v>5</v>
      </c>
      <c r="O31" s="4" t="s">
        <v>6</v>
      </c>
      <c r="P31" s="2" t="s">
        <v>25</v>
      </c>
      <c r="Q31" s="2" t="s">
        <v>13</v>
      </c>
      <c r="R31" s="2" t="s">
        <v>7</v>
      </c>
      <c r="S31" s="2" t="s">
        <v>17</v>
      </c>
      <c r="T31" s="2" t="s">
        <v>22</v>
      </c>
      <c r="W31" s="4">
        <v>0</v>
      </c>
      <c r="X31" s="4">
        <v>0.5</v>
      </c>
      <c r="Y31" s="4">
        <v>0</v>
      </c>
      <c r="Z31" s="4">
        <f t="shared" si="0"/>
        <v>0.5</v>
      </c>
    </row>
    <row r="32" spans="1:26" ht="14.45" customHeight="1" x14ac:dyDescent="0.25">
      <c r="A32" s="2" t="s">
        <v>196</v>
      </c>
      <c r="B32" s="6" t="s">
        <v>197</v>
      </c>
      <c r="C32" s="3">
        <v>40931</v>
      </c>
      <c r="D32" s="2" t="s">
        <v>198</v>
      </c>
      <c r="E32" s="9" t="s">
        <v>199</v>
      </c>
      <c r="F32" s="2" t="s">
        <v>54</v>
      </c>
      <c r="K32" s="2" t="s">
        <v>72</v>
      </c>
      <c r="N32" s="4" t="s">
        <v>7</v>
      </c>
      <c r="O32" s="4" t="s">
        <v>9</v>
      </c>
      <c r="P32" s="2" t="s">
        <v>25</v>
      </c>
      <c r="Q32" s="2" t="s">
        <v>7</v>
      </c>
      <c r="R32" s="2" t="s">
        <v>31</v>
      </c>
      <c r="S32" s="2" t="s">
        <v>35</v>
      </c>
      <c r="W32" s="4">
        <v>0</v>
      </c>
      <c r="X32" s="4">
        <v>0.5</v>
      </c>
      <c r="Y32" s="4">
        <v>0</v>
      </c>
      <c r="Z32" s="4">
        <f t="shared" si="0"/>
        <v>0.5</v>
      </c>
    </row>
    <row r="33" spans="1:26" ht="14.45" customHeight="1" x14ac:dyDescent="0.25">
      <c r="A33" s="2" t="s">
        <v>200</v>
      </c>
      <c r="B33" s="6" t="s">
        <v>201</v>
      </c>
      <c r="C33" s="3">
        <v>40922</v>
      </c>
      <c r="D33" s="2" t="s">
        <v>202</v>
      </c>
      <c r="E33" s="9" t="s">
        <v>112</v>
      </c>
      <c r="F33" s="2" t="s">
        <v>54</v>
      </c>
      <c r="G33" s="2" t="s">
        <v>21</v>
      </c>
      <c r="K33" s="2" t="s">
        <v>67</v>
      </c>
      <c r="L33" s="2" t="s">
        <v>68</v>
      </c>
      <c r="M33" s="2" t="s">
        <v>69</v>
      </c>
      <c r="N33" s="4" t="s">
        <v>4</v>
      </c>
      <c r="O33" s="4" t="s">
        <v>5</v>
      </c>
      <c r="P33" s="2" t="s">
        <v>36</v>
      </c>
      <c r="Q33" s="2" t="s">
        <v>16</v>
      </c>
      <c r="R33" s="2" t="s">
        <v>38</v>
      </c>
      <c r="S33" s="2" t="s">
        <v>39</v>
      </c>
      <c r="W33" s="4">
        <v>0</v>
      </c>
      <c r="X33" s="4">
        <v>0</v>
      </c>
      <c r="Y33" s="4">
        <v>1</v>
      </c>
      <c r="Z33" s="4">
        <f t="shared" si="0"/>
        <v>1</v>
      </c>
    </row>
    <row r="34" spans="1:26" ht="14.45" customHeight="1" x14ac:dyDescent="0.25">
      <c r="A34" s="2" t="s">
        <v>614</v>
      </c>
      <c r="B34" s="6" t="s">
        <v>615</v>
      </c>
      <c r="C34" s="3">
        <v>40922</v>
      </c>
      <c r="D34" s="2" t="s">
        <v>616</v>
      </c>
      <c r="E34" s="9" t="s">
        <v>112</v>
      </c>
      <c r="F34" s="2" t="s">
        <v>21</v>
      </c>
      <c r="K34" s="2" t="s">
        <v>72</v>
      </c>
      <c r="N34" s="4" t="s">
        <v>9</v>
      </c>
      <c r="O34" s="4" t="s">
        <v>7</v>
      </c>
      <c r="P34" s="2" t="s">
        <v>36</v>
      </c>
      <c r="Q34" s="2" t="s">
        <v>29</v>
      </c>
      <c r="R34" s="2" t="s">
        <v>35</v>
      </c>
      <c r="S34" s="2" t="s">
        <v>39</v>
      </c>
      <c r="W34" s="4">
        <v>0</v>
      </c>
      <c r="X34" s="4">
        <v>0.5</v>
      </c>
      <c r="Y34" s="4">
        <v>0</v>
      </c>
      <c r="Z34" s="4">
        <f t="shared" si="0"/>
        <v>0.5</v>
      </c>
    </row>
    <row r="35" spans="1:26" ht="14.45" customHeight="1" x14ac:dyDescent="0.25">
      <c r="A35" s="2" t="s">
        <v>617</v>
      </c>
      <c r="B35" s="6" t="s">
        <v>618</v>
      </c>
      <c r="C35" s="3">
        <v>40922</v>
      </c>
      <c r="D35" s="2" t="s">
        <v>619</v>
      </c>
      <c r="E35" s="9" t="s">
        <v>112</v>
      </c>
      <c r="F35" s="2" t="s">
        <v>21</v>
      </c>
      <c r="K35" s="2" t="s">
        <v>68</v>
      </c>
      <c r="N35" s="4" t="s">
        <v>5</v>
      </c>
      <c r="O35" s="4" t="s">
        <v>8</v>
      </c>
      <c r="P35" s="2" t="s">
        <v>25</v>
      </c>
      <c r="Q35" s="2" t="s">
        <v>36</v>
      </c>
      <c r="R35" s="2" t="s">
        <v>16</v>
      </c>
      <c r="S35" s="2" t="s">
        <v>43</v>
      </c>
      <c r="T35" s="2" t="s">
        <v>39</v>
      </c>
      <c r="W35" s="4">
        <v>0</v>
      </c>
      <c r="X35" s="4">
        <v>0</v>
      </c>
      <c r="Y35" s="4">
        <v>0.5</v>
      </c>
      <c r="Z35" s="4">
        <f t="shared" si="0"/>
        <v>0.5</v>
      </c>
    </row>
    <row r="36" spans="1:26" ht="14.45" customHeight="1" x14ac:dyDescent="0.25">
      <c r="A36" s="2" t="s">
        <v>624</v>
      </c>
      <c r="B36" s="6" t="s">
        <v>625</v>
      </c>
      <c r="C36" s="3">
        <v>40919</v>
      </c>
      <c r="D36" s="2" t="s">
        <v>626</v>
      </c>
      <c r="E36" s="9" t="s">
        <v>620</v>
      </c>
      <c r="F36" s="2" t="s">
        <v>21</v>
      </c>
      <c r="K36" s="2" t="s">
        <v>62</v>
      </c>
      <c r="N36" s="4" t="s">
        <v>7</v>
      </c>
      <c r="O36" s="4" t="s">
        <v>9</v>
      </c>
      <c r="P36" s="2" t="s">
        <v>25</v>
      </c>
      <c r="Q36" s="2" t="s">
        <v>31</v>
      </c>
      <c r="R36" s="2" t="s">
        <v>24</v>
      </c>
      <c r="W36" s="4">
        <v>0.5</v>
      </c>
      <c r="X36" s="4">
        <v>0</v>
      </c>
      <c r="Y36" s="4">
        <v>0</v>
      </c>
      <c r="Z36" s="4">
        <f t="shared" si="0"/>
        <v>0.5</v>
      </c>
    </row>
    <row r="37" spans="1:26" ht="14.45" customHeight="1" x14ac:dyDescent="0.25">
      <c r="A37" s="2" t="s">
        <v>621</v>
      </c>
      <c r="B37" s="6" t="s">
        <v>622</v>
      </c>
      <c r="C37" s="3">
        <v>40919</v>
      </c>
      <c r="D37" s="2" t="s">
        <v>623</v>
      </c>
      <c r="E37" s="9" t="s">
        <v>620</v>
      </c>
      <c r="F37" s="2" t="s">
        <v>21</v>
      </c>
      <c r="N37" s="4" t="s">
        <v>7</v>
      </c>
      <c r="O37" s="4" t="s">
        <v>9</v>
      </c>
      <c r="P37" s="2" t="s">
        <v>25</v>
      </c>
      <c r="Q37" s="2" t="s">
        <v>31</v>
      </c>
      <c r="R37" s="2" t="s">
        <v>24</v>
      </c>
      <c r="W37" s="4">
        <v>0</v>
      </c>
      <c r="X37" s="4">
        <v>0</v>
      </c>
      <c r="Y37" s="4">
        <v>0</v>
      </c>
      <c r="Z37" s="4">
        <f t="shared" si="0"/>
        <v>0</v>
      </c>
    </row>
    <row r="38" spans="1:26" ht="14.45" customHeight="1" x14ac:dyDescent="0.25">
      <c r="A38" s="2" t="s">
        <v>488</v>
      </c>
      <c r="B38" s="6" t="s">
        <v>489</v>
      </c>
      <c r="C38" s="3">
        <v>40895</v>
      </c>
      <c r="D38" s="2" t="s">
        <v>490</v>
      </c>
      <c r="E38" s="9" t="s">
        <v>217</v>
      </c>
      <c r="F38" s="2" t="s">
        <v>45</v>
      </c>
      <c r="G38" s="2" t="s">
        <v>21</v>
      </c>
      <c r="K38" s="2" t="s">
        <v>68</v>
      </c>
      <c r="N38" s="4" t="s">
        <v>8</v>
      </c>
      <c r="O38" s="4" t="s">
        <v>5</v>
      </c>
      <c r="P38" s="2" t="s">
        <v>32</v>
      </c>
      <c r="Q38" s="2" t="s">
        <v>42</v>
      </c>
      <c r="R38" s="2" t="s">
        <v>19</v>
      </c>
      <c r="W38" s="4">
        <v>0</v>
      </c>
      <c r="X38" s="4">
        <v>0</v>
      </c>
      <c r="Y38" s="4">
        <v>0.5</v>
      </c>
      <c r="Z38" s="4">
        <f t="shared" si="0"/>
        <v>0.5</v>
      </c>
    </row>
    <row r="39" spans="1:26" ht="14.45" customHeight="1" x14ac:dyDescent="0.25">
      <c r="A39" s="2" t="s">
        <v>349</v>
      </c>
      <c r="B39" s="6" t="s">
        <v>350</v>
      </c>
      <c r="C39" s="3">
        <v>40868</v>
      </c>
      <c r="D39" s="2" t="s">
        <v>351</v>
      </c>
      <c r="E39" s="9" t="s">
        <v>348</v>
      </c>
      <c r="F39" s="2" t="s">
        <v>56</v>
      </c>
      <c r="K39" s="2" t="s">
        <v>72</v>
      </c>
      <c r="L39" s="2" t="s">
        <v>67</v>
      </c>
      <c r="N39" s="4" t="s">
        <v>4</v>
      </c>
      <c r="O39" s="4" t="s">
        <v>5</v>
      </c>
      <c r="P39" s="2" t="s">
        <v>25</v>
      </c>
      <c r="Q39" s="2" t="s">
        <v>38</v>
      </c>
      <c r="R39" s="2" t="s">
        <v>18</v>
      </c>
      <c r="S39" s="2" t="s">
        <v>39</v>
      </c>
      <c r="W39" s="4">
        <v>0</v>
      </c>
      <c r="X39" s="4">
        <v>0.5</v>
      </c>
      <c r="Y39" s="4">
        <v>0.5</v>
      </c>
      <c r="Z39" s="4">
        <f t="shared" si="0"/>
        <v>1</v>
      </c>
    </row>
    <row r="40" spans="1:26" ht="14.45" customHeight="1" x14ac:dyDescent="0.25">
      <c r="A40" s="2" t="s">
        <v>627</v>
      </c>
      <c r="B40" s="6" t="s">
        <v>628</v>
      </c>
      <c r="C40" s="3">
        <v>40826</v>
      </c>
      <c r="D40" s="2" t="s">
        <v>629</v>
      </c>
      <c r="E40" s="9" t="s">
        <v>470</v>
      </c>
      <c r="F40" s="2" t="s">
        <v>21</v>
      </c>
      <c r="K40" s="2" t="s">
        <v>68</v>
      </c>
      <c r="N40" s="4" t="s">
        <v>9</v>
      </c>
      <c r="O40" s="4" t="s">
        <v>8</v>
      </c>
      <c r="P40" s="2" t="s">
        <v>25</v>
      </c>
      <c r="Q40" s="2" t="s">
        <v>29</v>
      </c>
      <c r="R40" s="2" t="s">
        <v>43</v>
      </c>
      <c r="W40" s="4">
        <v>0</v>
      </c>
      <c r="X40" s="4">
        <v>0</v>
      </c>
      <c r="Y40" s="4">
        <v>0.5</v>
      </c>
      <c r="Z40" s="4">
        <f t="shared" si="0"/>
        <v>0.5</v>
      </c>
    </row>
    <row r="41" spans="1:26" ht="14.45" customHeight="1" x14ac:dyDescent="0.25">
      <c r="A41" s="2" t="s">
        <v>203</v>
      </c>
      <c r="B41" s="6" t="s">
        <v>204</v>
      </c>
      <c r="C41" s="3">
        <v>40771</v>
      </c>
      <c r="D41" s="2" t="s">
        <v>205</v>
      </c>
      <c r="E41" s="9" t="s">
        <v>206</v>
      </c>
      <c r="F41" s="2" t="s">
        <v>54</v>
      </c>
      <c r="K41" s="2" t="s">
        <v>72</v>
      </c>
      <c r="L41" s="2" t="s">
        <v>71</v>
      </c>
      <c r="N41" s="4" t="s">
        <v>4</v>
      </c>
      <c r="O41" s="4" t="s">
        <v>5</v>
      </c>
      <c r="P41" s="2" t="s">
        <v>40</v>
      </c>
      <c r="Q41" s="2" t="s">
        <v>22</v>
      </c>
      <c r="R41" s="2" t="s">
        <v>39</v>
      </c>
      <c r="W41" s="4">
        <v>0</v>
      </c>
      <c r="X41" s="4">
        <v>0.5</v>
      </c>
      <c r="Y41" s="4">
        <v>0</v>
      </c>
      <c r="Z41" s="4">
        <f t="shared" si="0"/>
        <v>0.5</v>
      </c>
    </row>
    <row r="42" spans="1:26" ht="14.45" customHeight="1" x14ac:dyDescent="0.25">
      <c r="A42" s="2" t="s">
        <v>1138</v>
      </c>
      <c r="B42" s="6" t="s">
        <v>1139</v>
      </c>
      <c r="C42" s="3">
        <v>40771</v>
      </c>
      <c r="D42" s="2" t="s">
        <v>1140</v>
      </c>
      <c r="E42" s="9" t="s">
        <v>206</v>
      </c>
      <c r="F42" s="2" t="s">
        <v>1032</v>
      </c>
      <c r="K42" s="2" t="s">
        <v>72</v>
      </c>
      <c r="N42" s="4" t="s">
        <v>4</v>
      </c>
      <c r="O42" s="4" t="s">
        <v>5</v>
      </c>
      <c r="P42" s="2" t="s">
        <v>40</v>
      </c>
      <c r="Q42" s="2" t="s">
        <v>38</v>
      </c>
      <c r="R42" s="2" t="s">
        <v>18</v>
      </c>
      <c r="S42" s="2" t="s">
        <v>39</v>
      </c>
      <c r="W42" s="4">
        <v>0</v>
      </c>
      <c r="X42" s="4">
        <v>0.5</v>
      </c>
      <c r="Y42" s="4">
        <v>0</v>
      </c>
      <c r="Z42" s="4">
        <f t="shared" si="0"/>
        <v>0.5</v>
      </c>
    </row>
    <row r="43" spans="1:26" ht="14.45" customHeight="1" x14ac:dyDescent="0.25">
      <c r="A43" s="2" t="s">
        <v>491</v>
      </c>
      <c r="B43" s="6" t="s">
        <v>492</v>
      </c>
      <c r="C43" s="3">
        <v>40764</v>
      </c>
      <c r="D43" s="2" t="s">
        <v>493</v>
      </c>
      <c r="E43" s="9" t="s">
        <v>206</v>
      </c>
      <c r="F43" s="2" t="s">
        <v>45</v>
      </c>
      <c r="G43" s="2" t="s">
        <v>21</v>
      </c>
      <c r="K43" s="2" t="s">
        <v>72</v>
      </c>
      <c r="L43" s="2" t="s">
        <v>67</v>
      </c>
      <c r="N43" s="4" t="s">
        <v>5</v>
      </c>
      <c r="P43" s="2" t="s">
        <v>40</v>
      </c>
      <c r="Q43" s="2" t="s">
        <v>16</v>
      </c>
      <c r="R43" s="2" t="s">
        <v>38</v>
      </c>
      <c r="W43" s="4">
        <v>0</v>
      </c>
      <c r="X43" s="4">
        <v>0.5</v>
      </c>
      <c r="Y43" s="4">
        <v>0.5</v>
      </c>
      <c r="Z43" s="4">
        <f t="shared" si="0"/>
        <v>1</v>
      </c>
    </row>
    <row r="44" spans="1:26" ht="14.45" customHeight="1" x14ac:dyDescent="0.25">
      <c r="A44" s="2" t="s">
        <v>80</v>
      </c>
      <c r="B44" s="5" t="s">
        <v>81</v>
      </c>
      <c r="C44" s="3">
        <v>40708</v>
      </c>
      <c r="D44" s="2" t="s">
        <v>82</v>
      </c>
      <c r="E44" s="2" t="s">
        <v>83</v>
      </c>
      <c r="F44" s="2" t="s">
        <v>55</v>
      </c>
      <c r="G44" s="2" t="s">
        <v>54</v>
      </c>
      <c r="H44" s="2" t="s">
        <v>56</v>
      </c>
      <c r="I44" s="2" t="s">
        <v>21</v>
      </c>
      <c r="J44" s="2" t="s">
        <v>187</v>
      </c>
      <c r="N44" s="4" t="s">
        <v>4</v>
      </c>
      <c r="O44" s="4" t="s">
        <v>8</v>
      </c>
      <c r="P44" s="2" t="s">
        <v>33</v>
      </c>
      <c r="Q44" s="2" t="s">
        <v>38</v>
      </c>
      <c r="R44" s="2" t="s">
        <v>47</v>
      </c>
      <c r="S44" s="2" t="s">
        <v>39</v>
      </c>
      <c r="W44" s="4">
        <v>0</v>
      </c>
      <c r="X44" s="4">
        <v>0</v>
      </c>
      <c r="Y44" s="4">
        <v>0</v>
      </c>
      <c r="Z44" s="4">
        <f t="shared" si="0"/>
        <v>0</v>
      </c>
    </row>
    <row r="45" spans="1:26" ht="14.45" customHeight="1" x14ac:dyDescent="0.25">
      <c r="A45" s="2" t="s">
        <v>630</v>
      </c>
      <c r="B45" s="6" t="s">
        <v>631</v>
      </c>
      <c r="C45" s="3">
        <v>40690</v>
      </c>
      <c r="D45" s="2" t="s">
        <v>632</v>
      </c>
      <c r="E45" s="2" t="s">
        <v>217</v>
      </c>
      <c r="F45" s="2" t="s">
        <v>21</v>
      </c>
      <c r="N45" s="4" t="s">
        <v>4</v>
      </c>
      <c r="O45" s="4" t="s">
        <v>5</v>
      </c>
      <c r="P45" s="2" t="s">
        <v>32</v>
      </c>
      <c r="Q45" s="2" t="s">
        <v>16</v>
      </c>
      <c r="R45" s="2" t="s">
        <v>33</v>
      </c>
      <c r="S45" s="2" t="s">
        <v>38</v>
      </c>
      <c r="T45" s="2" t="s">
        <v>39</v>
      </c>
      <c r="W45" s="4">
        <v>0</v>
      </c>
      <c r="X45" s="4">
        <v>0</v>
      </c>
      <c r="Y45" s="4">
        <v>0</v>
      </c>
      <c r="Z45" s="4">
        <f t="shared" si="0"/>
        <v>0</v>
      </c>
    </row>
    <row r="46" spans="1:26" ht="14.45" customHeight="1" x14ac:dyDescent="0.25">
      <c r="A46" s="2" t="s">
        <v>207</v>
      </c>
      <c r="B46" s="6" t="s">
        <v>208</v>
      </c>
      <c r="C46" s="3">
        <v>40632</v>
      </c>
      <c r="D46" s="2" t="s">
        <v>209</v>
      </c>
      <c r="E46" s="9" t="s">
        <v>210</v>
      </c>
      <c r="F46" s="2" t="s">
        <v>54</v>
      </c>
      <c r="G46" s="2" t="s">
        <v>45</v>
      </c>
      <c r="K46" s="2" t="s">
        <v>67</v>
      </c>
      <c r="N46" s="4" t="s">
        <v>4</v>
      </c>
      <c r="O46" s="4" t="s">
        <v>8</v>
      </c>
      <c r="P46" s="2" t="s">
        <v>36</v>
      </c>
      <c r="Q46" s="2" t="s">
        <v>13</v>
      </c>
      <c r="R46" s="2" t="s">
        <v>39</v>
      </c>
      <c r="W46" s="4">
        <v>0.5</v>
      </c>
      <c r="X46" s="4">
        <v>0</v>
      </c>
      <c r="Y46" s="4">
        <v>0.5</v>
      </c>
      <c r="Z46" s="4">
        <f t="shared" si="0"/>
        <v>1</v>
      </c>
    </row>
    <row r="47" spans="1:26" ht="14.45" customHeight="1" x14ac:dyDescent="0.25">
      <c r="A47" s="2" t="s">
        <v>633</v>
      </c>
      <c r="B47" s="6" t="s">
        <v>634</v>
      </c>
      <c r="C47" s="3">
        <v>40632</v>
      </c>
      <c r="D47" s="2" t="s">
        <v>635</v>
      </c>
      <c r="E47" s="2" t="s">
        <v>210</v>
      </c>
      <c r="F47" s="2" t="s">
        <v>21</v>
      </c>
      <c r="K47" s="2" t="s">
        <v>67</v>
      </c>
      <c r="N47" s="4" t="s">
        <v>4</v>
      </c>
      <c r="O47" s="4" t="s">
        <v>5</v>
      </c>
      <c r="P47" s="2" t="s">
        <v>36</v>
      </c>
      <c r="Q47" s="2" t="s">
        <v>16</v>
      </c>
      <c r="R47" s="2" t="s">
        <v>38</v>
      </c>
      <c r="W47" s="4">
        <v>0</v>
      </c>
      <c r="X47" s="4">
        <v>0</v>
      </c>
      <c r="Y47" s="4">
        <v>0.5</v>
      </c>
      <c r="Z47" s="4">
        <f t="shared" si="0"/>
        <v>0.5</v>
      </c>
    </row>
    <row r="48" spans="1:26" ht="14.45" customHeight="1" x14ac:dyDescent="0.25">
      <c r="A48" s="2" t="s">
        <v>636</v>
      </c>
      <c r="B48" s="6" t="s">
        <v>637</v>
      </c>
      <c r="C48" s="3">
        <v>40626</v>
      </c>
      <c r="D48" s="2" t="s">
        <v>638</v>
      </c>
      <c r="E48" s="9" t="s">
        <v>210</v>
      </c>
      <c r="F48" s="2" t="s">
        <v>21</v>
      </c>
      <c r="G48" s="2" t="s">
        <v>187</v>
      </c>
      <c r="K48" s="2" t="s">
        <v>68</v>
      </c>
      <c r="L48" s="2" t="s">
        <v>67</v>
      </c>
      <c r="M48" s="2" t="s">
        <v>72</v>
      </c>
      <c r="N48" s="4" t="s">
        <v>4</v>
      </c>
      <c r="O48" s="4" t="s">
        <v>5</v>
      </c>
      <c r="P48" s="2" t="s">
        <v>36</v>
      </c>
      <c r="Q48" s="2" t="s">
        <v>17</v>
      </c>
      <c r="R48" s="2" t="s">
        <v>38</v>
      </c>
      <c r="W48" s="4">
        <v>0.5</v>
      </c>
      <c r="X48" s="4">
        <v>0.5</v>
      </c>
      <c r="Y48" s="4">
        <v>0.5</v>
      </c>
      <c r="Z48" s="4">
        <f t="shared" si="0"/>
        <v>1.5</v>
      </c>
    </row>
    <row r="49" spans="1:26" ht="14.45" customHeight="1" x14ac:dyDescent="0.25">
      <c r="A49" s="2" t="s">
        <v>84</v>
      </c>
      <c r="B49" s="5" t="s">
        <v>85</v>
      </c>
      <c r="C49" s="3">
        <v>40574</v>
      </c>
      <c r="D49" s="2" t="s">
        <v>1229</v>
      </c>
      <c r="E49" s="4" t="s">
        <v>86</v>
      </c>
      <c r="F49" s="2" t="s">
        <v>55</v>
      </c>
      <c r="G49" s="2" t="s">
        <v>54</v>
      </c>
      <c r="H49" s="2" t="s">
        <v>45</v>
      </c>
      <c r="I49" s="2" t="s">
        <v>21</v>
      </c>
      <c r="K49" s="2" t="s">
        <v>75</v>
      </c>
      <c r="L49" s="2" t="s">
        <v>62</v>
      </c>
      <c r="M49" s="2" t="s">
        <v>73</v>
      </c>
      <c r="N49" s="4" t="s">
        <v>4</v>
      </c>
      <c r="O49" s="4" t="s">
        <v>5</v>
      </c>
      <c r="P49" s="2" t="s">
        <v>7</v>
      </c>
      <c r="Q49" s="2" t="s">
        <v>17</v>
      </c>
      <c r="R49" s="2" t="s">
        <v>38</v>
      </c>
      <c r="W49" s="4">
        <v>1</v>
      </c>
      <c r="X49" s="4">
        <v>1</v>
      </c>
      <c r="Y49" s="4">
        <v>1</v>
      </c>
      <c r="Z49" s="4">
        <f t="shared" si="0"/>
        <v>3</v>
      </c>
    </row>
    <row r="50" spans="1:26" ht="14.45" customHeight="1" x14ac:dyDescent="0.25">
      <c r="A50" s="2" t="s">
        <v>87</v>
      </c>
      <c r="B50" s="5" t="s">
        <v>88</v>
      </c>
      <c r="C50" s="3">
        <v>40574</v>
      </c>
      <c r="D50" s="2" t="s">
        <v>1230</v>
      </c>
      <c r="E50" s="2" t="s">
        <v>86</v>
      </c>
      <c r="F50" s="2" t="s">
        <v>55</v>
      </c>
      <c r="G50" s="2" t="s">
        <v>54</v>
      </c>
      <c r="H50" s="2" t="s">
        <v>45</v>
      </c>
      <c r="I50" s="2" t="s">
        <v>21</v>
      </c>
      <c r="K50" s="2" t="s">
        <v>62</v>
      </c>
      <c r="N50" s="4" t="s">
        <v>7</v>
      </c>
      <c r="O50" s="4" t="s">
        <v>9</v>
      </c>
      <c r="P50" s="2" t="s">
        <v>25</v>
      </c>
      <c r="Q50" s="2" t="s">
        <v>7</v>
      </c>
      <c r="R50" s="2" t="s">
        <v>17</v>
      </c>
      <c r="S50" s="2" t="s">
        <v>31</v>
      </c>
      <c r="W50" s="4">
        <v>1</v>
      </c>
      <c r="X50" s="4">
        <v>0</v>
      </c>
      <c r="Y50" s="4">
        <v>0</v>
      </c>
      <c r="Z50" s="4">
        <f t="shared" si="0"/>
        <v>1</v>
      </c>
    </row>
    <row r="51" spans="1:26" ht="14.45" customHeight="1" x14ac:dyDescent="0.25">
      <c r="A51" s="2" t="s">
        <v>639</v>
      </c>
      <c r="B51" s="6" t="s">
        <v>640</v>
      </c>
      <c r="C51" s="3">
        <v>40574</v>
      </c>
      <c r="D51" s="2" t="s">
        <v>641</v>
      </c>
      <c r="E51" s="2" t="s">
        <v>86</v>
      </c>
      <c r="F51" s="2" t="s">
        <v>21</v>
      </c>
      <c r="N51" s="4" t="s">
        <v>7</v>
      </c>
      <c r="O51" s="4" t="s">
        <v>8</v>
      </c>
      <c r="P51" s="2" t="s">
        <v>25</v>
      </c>
      <c r="Q51" s="2" t="s">
        <v>7</v>
      </c>
      <c r="R51" s="2" t="s">
        <v>19</v>
      </c>
      <c r="W51" s="4">
        <v>0</v>
      </c>
      <c r="X51" s="4">
        <v>0</v>
      </c>
      <c r="Y51" s="4">
        <v>0</v>
      </c>
      <c r="Z51" s="4">
        <f t="shared" si="0"/>
        <v>0</v>
      </c>
    </row>
    <row r="52" spans="1:26" ht="14.45" customHeight="1" x14ac:dyDescent="0.25">
      <c r="A52" s="2" t="s">
        <v>642</v>
      </c>
      <c r="B52" s="6" t="s">
        <v>643</v>
      </c>
      <c r="C52" s="3">
        <v>40571</v>
      </c>
      <c r="D52" s="2" t="s">
        <v>644</v>
      </c>
      <c r="E52" s="2" t="s">
        <v>86</v>
      </c>
      <c r="F52" s="2" t="s">
        <v>21</v>
      </c>
      <c r="N52" s="4" t="s">
        <v>7</v>
      </c>
      <c r="O52" s="4" t="s">
        <v>9</v>
      </c>
      <c r="P52" s="2" t="s">
        <v>25</v>
      </c>
      <c r="Q52" s="2" t="s">
        <v>7</v>
      </c>
      <c r="R52" s="2" t="s">
        <v>31</v>
      </c>
      <c r="W52" s="4">
        <v>0</v>
      </c>
      <c r="X52" s="4">
        <v>0</v>
      </c>
      <c r="Y52" s="4">
        <v>0</v>
      </c>
      <c r="Z52" s="4">
        <f t="shared" si="0"/>
        <v>0</v>
      </c>
    </row>
    <row r="53" spans="1:26" ht="14.45" customHeight="1" x14ac:dyDescent="0.25">
      <c r="A53" s="2" t="s">
        <v>211</v>
      </c>
      <c r="B53" s="5" t="s">
        <v>212</v>
      </c>
      <c r="C53" s="3">
        <v>40567</v>
      </c>
      <c r="D53" s="2" t="s">
        <v>213</v>
      </c>
      <c r="E53" s="9" t="s">
        <v>86</v>
      </c>
      <c r="F53" s="2" t="s">
        <v>54</v>
      </c>
      <c r="G53" s="2" t="s">
        <v>21</v>
      </c>
      <c r="H53" s="2" t="s">
        <v>187</v>
      </c>
      <c r="K53" s="2" t="s">
        <v>68</v>
      </c>
      <c r="L53" s="2" t="s">
        <v>72</v>
      </c>
      <c r="M53" s="2" t="s">
        <v>73</v>
      </c>
      <c r="N53" s="4" t="s">
        <v>9</v>
      </c>
      <c r="P53" s="2" t="s">
        <v>25</v>
      </c>
      <c r="Q53" s="2" t="s">
        <v>7</v>
      </c>
      <c r="W53" s="4">
        <v>0</v>
      </c>
      <c r="X53" s="4">
        <v>0.5</v>
      </c>
      <c r="Y53" s="4">
        <v>0.5</v>
      </c>
      <c r="Z53" s="4">
        <f t="shared" si="0"/>
        <v>1</v>
      </c>
    </row>
    <row r="54" spans="1:26" ht="14.45" customHeight="1" x14ac:dyDescent="0.25">
      <c r="A54" s="2" t="s">
        <v>645</v>
      </c>
      <c r="B54" s="6" t="s">
        <v>646</v>
      </c>
      <c r="C54" s="3">
        <v>40556</v>
      </c>
      <c r="D54" s="2" t="s">
        <v>647</v>
      </c>
      <c r="E54" s="9" t="s">
        <v>112</v>
      </c>
      <c r="F54" s="2" t="s">
        <v>21</v>
      </c>
      <c r="K54" s="2" t="s">
        <v>67</v>
      </c>
      <c r="L54" s="2" t="s">
        <v>68</v>
      </c>
      <c r="M54" s="2" t="s">
        <v>72</v>
      </c>
      <c r="N54" s="4" t="s">
        <v>4</v>
      </c>
      <c r="O54" s="4" t="s">
        <v>5</v>
      </c>
      <c r="P54" s="2" t="s">
        <v>36</v>
      </c>
      <c r="Q54" s="2" t="s">
        <v>40</v>
      </c>
      <c r="R54" s="2" t="s">
        <v>38</v>
      </c>
      <c r="W54" s="4">
        <v>0.5</v>
      </c>
      <c r="X54" s="4">
        <v>0.5</v>
      </c>
      <c r="Y54" s="4">
        <v>0.5</v>
      </c>
      <c r="Z54" s="4">
        <f t="shared" si="0"/>
        <v>1.5</v>
      </c>
    </row>
    <row r="55" spans="1:26" ht="14.45" customHeight="1" x14ac:dyDescent="0.25">
      <c r="A55" s="2" t="s">
        <v>654</v>
      </c>
      <c r="B55" s="6" t="s">
        <v>655</v>
      </c>
      <c r="C55" s="3">
        <v>40556</v>
      </c>
      <c r="D55" s="2" t="s">
        <v>656</v>
      </c>
      <c r="E55" s="9" t="s">
        <v>112</v>
      </c>
      <c r="F55" s="2" t="s">
        <v>21</v>
      </c>
      <c r="K55" s="2" t="s">
        <v>67</v>
      </c>
      <c r="L55" s="2" t="s">
        <v>68</v>
      </c>
      <c r="M55" s="2" t="s">
        <v>72</v>
      </c>
      <c r="N55" s="4" t="s">
        <v>4</v>
      </c>
      <c r="O55" s="4" t="s">
        <v>5</v>
      </c>
      <c r="P55" s="2" t="s">
        <v>36</v>
      </c>
      <c r="Q55" s="2" t="s">
        <v>29</v>
      </c>
      <c r="R55" s="2" t="s">
        <v>38</v>
      </c>
      <c r="W55" s="4">
        <v>0.5</v>
      </c>
      <c r="X55" s="4">
        <v>0.5</v>
      </c>
      <c r="Y55" s="4">
        <v>0.5</v>
      </c>
      <c r="Z55" s="4">
        <f t="shared" si="0"/>
        <v>1.5</v>
      </c>
    </row>
    <row r="56" spans="1:26" ht="14.45" customHeight="1" x14ac:dyDescent="0.25">
      <c r="A56" s="2" t="s">
        <v>648</v>
      </c>
      <c r="B56" s="6" t="s">
        <v>649</v>
      </c>
      <c r="C56" s="3">
        <v>40556</v>
      </c>
      <c r="D56" s="2" t="s">
        <v>650</v>
      </c>
      <c r="E56" s="9" t="s">
        <v>112</v>
      </c>
      <c r="F56" s="2" t="s">
        <v>21</v>
      </c>
      <c r="K56" s="2" t="s">
        <v>67</v>
      </c>
      <c r="L56" s="2" t="s">
        <v>68</v>
      </c>
      <c r="N56" s="4" t="s">
        <v>4</v>
      </c>
      <c r="O56" s="4" t="s">
        <v>5</v>
      </c>
      <c r="P56" s="2" t="s">
        <v>36</v>
      </c>
      <c r="Q56" s="2" t="s">
        <v>40</v>
      </c>
      <c r="R56" s="2" t="s">
        <v>38</v>
      </c>
      <c r="S56" s="2" t="s">
        <v>43</v>
      </c>
      <c r="W56" s="4">
        <v>0</v>
      </c>
      <c r="X56" s="4">
        <v>0.5</v>
      </c>
      <c r="Y56" s="4">
        <v>0.5</v>
      </c>
      <c r="Z56" s="4">
        <f t="shared" si="0"/>
        <v>1</v>
      </c>
    </row>
    <row r="57" spans="1:26" ht="14.45" customHeight="1" x14ac:dyDescent="0.25">
      <c r="A57" s="2" t="s">
        <v>657</v>
      </c>
      <c r="B57" s="6" t="s">
        <v>658</v>
      </c>
      <c r="C57" s="3">
        <v>40556</v>
      </c>
      <c r="D57" s="2" t="s">
        <v>659</v>
      </c>
      <c r="E57" s="9" t="s">
        <v>112</v>
      </c>
      <c r="F57" s="2" t="s">
        <v>21</v>
      </c>
      <c r="K57" s="2" t="s">
        <v>68</v>
      </c>
      <c r="L57" s="2" t="s">
        <v>67</v>
      </c>
      <c r="N57" s="4" t="s">
        <v>9</v>
      </c>
      <c r="O57" s="4" t="s">
        <v>8</v>
      </c>
      <c r="P57" s="2" t="s">
        <v>36</v>
      </c>
      <c r="Q57" s="2" t="s">
        <v>29</v>
      </c>
      <c r="R57" s="2" t="s">
        <v>43</v>
      </c>
      <c r="W57" s="4">
        <v>0</v>
      </c>
      <c r="X57" s="4">
        <v>0</v>
      </c>
      <c r="Y57" s="4">
        <v>0.5</v>
      </c>
      <c r="Z57" s="4">
        <f t="shared" si="0"/>
        <v>0.5</v>
      </c>
    </row>
    <row r="58" spans="1:26" ht="14.45" customHeight="1" x14ac:dyDescent="0.25">
      <c r="A58" s="2" t="s">
        <v>651</v>
      </c>
      <c r="B58" s="6" t="s">
        <v>652</v>
      </c>
      <c r="C58" s="3">
        <v>40556</v>
      </c>
      <c r="D58" s="2" t="s">
        <v>653</v>
      </c>
      <c r="E58" s="9" t="s">
        <v>112</v>
      </c>
      <c r="F58" s="2" t="s">
        <v>21</v>
      </c>
      <c r="K58" s="2" t="s">
        <v>68</v>
      </c>
      <c r="N58" s="4" t="s">
        <v>4</v>
      </c>
      <c r="O58" s="4" t="s">
        <v>5</v>
      </c>
      <c r="P58" s="2" t="s">
        <v>25</v>
      </c>
      <c r="Q58" s="2" t="s">
        <v>36</v>
      </c>
      <c r="R58" s="2" t="s">
        <v>40</v>
      </c>
      <c r="S58" s="2" t="s">
        <v>43</v>
      </c>
      <c r="W58" s="4">
        <v>0</v>
      </c>
      <c r="X58" s="4">
        <v>0</v>
      </c>
      <c r="Y58" s="4">
        <v>0.5</v>
      </c>
      <c r="Z58" s="4">
        <f t="shared" si="0"/>
        <v>0.5</v>
      </c>
    </row>
    <row r="59" spans="1:26" ht="14.45" customHeight="1" x14ac:dyDescent="0.25">
      <c r="A59" s="2" t="s">
        <v>214</v>
      </c>
      <c r="B59" s="5" t="s">
        <v>215</v>
      </c>
      <c r="C59" s="3">
        <v>40505</v>
      </c>
      <c r="D59" s="2" t="s">
        <v>216</v>
      </c>
      <c r="E59" s="9" t="s">
        <v>217</v>
      </c>
      <c r="F59" s="2" t="s">
        <v>54</v>
      </c>
      <c r="G59" s="2" t="s">
        <v>45</v>
      </c>
      <c r="H59" s="2" t="s">
        <v>187</v>
      </c>
      <c r="K59" s="2" t="s">
        <v>68</v>
      </c>
      <c r="L59" s="2" t="s">
        <v>73</v>
      </c>
      <c r="N59" s="4" t="s">
        <v>8</v>
      </c>
      <c r="P59" s="2" t="s">
        <v>32</v>
      </c>
      <c r="Q59" s="2" t="s">
        <v>23</v>
      </c>
      <c r="R59" s="2" t="s">
        <v>48</v>
      </c>
      <c r="W59" s="4">
        <v>0</v>
      </c>
      <c r="X59" s="4">
        <v>0.5</v>
      </c>
      <c r="Y59" s="4">
        <v>0.5</v>
      </c>
      <c r="Z59" s="4">
        <f t="shared" si="0"/>
        <v>1</v>
      </c>
    </row>
    <row r="60" spans="1:26" ht="14.45" customHeight="1" x14ac:dyDescent="0.25">
      <c r="A60" s="2" t="s">
        <v>218</v>
      </c>
      <c r="B60" s="6" t="s">
        <v>345</v>
      </c>
      <c r="C60" s="3">
        <v>40480</v>
      </c>
      <c r="D60" s="2" t="s">
        <v>219</v>
      </c>
      <c r="E60" s="9" t="s">
        <v>220</v>
      </c>
      <c r="F60" s="2" t="s">
        <v>54</v>
      </c>
      <c r="N60" s="4" t="s">
        <v>7</v>
      </c>
      <c r="O60" s="4" t="s">
        <v>9</v>
      </c>
      <c r="P60" s="2" t="s">
        <v>25</v>
      </c>
      <c r="Q60" s="2" t="s">
        <v>17</v>
      </c>
      <c r="R60" s="2" t="s">
        <v>31</v>
      </c>
      <c r="S60" s="2" t="s">
        <v>15</v>
      </c>
      <c r="W60" s="4">
        <v>0</v>
      </c>
      <c r="X60" s="4">
        <v>0</v>
      </c>
      <c r="Y60" s="4">
        <v>0</v>
      </c>
      <c r="Z60" s="4">
        <f t="shared" si="0"/>
        <v>0</v>
      </c>
    </row>
    <row r="61" spans="1:26" ht="14.45" customHeight="1" x14ac:dyDescent="0.25">
      <c r="A61" s="2" t="s">
        <v>661</v>
      </c>
      <c r="B61" s="6" t="s">
        <v>662</v>
      </c>
      <c r="C61" s="3">
        <v>40478</v>
      </c>
      <c r="D61" s="2" t="s">
        <v>663</v>
      </c>
      <c r="E61" s="9" t="s">
        <v>660</v>
      </c>
      <c r="F61" s="2" t="s">
        <v>21</v>
      </c>
      <c r="K61" s="2" t="s">
        <v>62</v>
      </c>
      <c r="L61" s="2" t="s">
        <v>65</v>
      </c>
      <c r="M61" s="2" t="s">
        <v>72</v>
      </c>
      <c r="N61" s="4" t="s">
        <v>4</v>
      </c>
      <c r="O61" s="4" t="s">
        <v>5</v>
      </c>
      <c r="P61" s="2" t="s">
        <v>16</v>
      </c>
      <c r="Q61" s="2" t="s">
        <v>38</v>
      </c>
      <c r="R61" s="2" t="s">
        <v>48</v>
      </c>
      <c r="S61" s="2" t="s">
        <v>20</v>
      </c>
      <c r="T61" s="2" t="s">
        <v>21</v>
      </c>
      <c r="W61" s="4">
        <v>1</v>
      </c>
      <c r="X61" s="4">
        <v>0.5</v>
      </c>
      <c r="Y61" s="4">
        <v>0</v>
      </c>
      <c r="Z61" s="4">
        <f t="shared" si="0"/>
        <v>1.5</v>
      </c>
    </row>
    <row r="62" spans="1:26" ht="14.45" customHeight="1" x14ac:dyDescent="0.25">
      <c r="A62" s="2" t="s">
        <v>664</v>
      </c>
      <c r="B62" s="6" t="s">
        <v>665</v>
      </c>
      <c r="C62" s="3">
        <v>40457</v>
      </c>
      <c r="D62" s="2" t="s">
        <v>666</v>
      </c>
      <c r="E62" s="9" t="s">
        <v>161</v>
      </c>
      <c r="F62" s="2" t="s">
        <v>21</v>
      </c>
      <c r="N62" s="4" t="s">
        <v>4</v>
      </c>
      <c r="O62" s="4" t="s">
        <v>5</v>
      </c>
      <c r="P62" s="2" t="s">
        <v>40</v>
      </c>
      <c r="Q62" s="2" t="s">
        <v>44</v>
      </c>
      <c r="W62" s="4">
        <v>0</v>
      </c>
      <c r="X62" s="4">
        <v>0</v>
      </c>
      <c r="Y62" s="4">
        <v>0</v>
      </c>
      <c r="Z62" s="4">
        <f t="shared" si="0"/>
        <v>0</v>
      </c>
    </row>
    <row r="63" spans="1:26" ht="14.45" customHeight="1" x14ac:dyDescent="0.25">
      <c r="A63" s="2" t="s">
        <v>221</v>
      </c>
      <c r="B63" s="6" t="s">
        <v>346</v>
      </c>
      <c r="C63" s="3">
        <v>40457</v>
      </c>
      <c r="D63" s="2" t="s">
        <v>222</v>
      </c>
      <c r="E63" s="9" t="s">
        <v>161</v>
      </c>
      <c r="F63" s="2" t="s">
        <v>54</v>
      </c>
      <c r="N63" s="4" t="s">
        <v>5</v>
      </c>
      <c r="P63" s="2" t="s">
        <v>25</v>
      </c>
      <c r="Q63" s="2" t="s">
        <v>13</v>
      </c>
      <c r="R63" s="2" t="s">
        <v>16</v>
      </c>
      <c r="W63" s="4">
        <v>0</v>
      </c>
      <c r="X63" s="4">
        <v>0</v>
      </c>
      <c r="Y63" s="4">
        <v>0</v>
      </c>
      <c r="Z63" s="4">
        <f t="shared" si="0"/>
        <v>0</v>
      </c>
    </row>
    <row r="64" spans="1:26" ht="14.45" customHeight="1" x14ac:dyDescent="0.25">
      <c r="A64" s="2" t="s">
        <v>494</v>
      </c>
      <c r="B64" s="6" t="s">
        <v>495</v>
      </c>
      <c r="C64" s="3">
        <v>40437</v>
      </c>
      <c r="D64" s="2" t="s">
        <v>496</v>
      </c>
      <c r="E64" s="9" t="s">
        <v>226</v>
      </c>
      <c r="F64" s="2" t="s">
        <v>45</v>
      </c>
      <c r="G64" s="2" t="s">
        <v>21</v>
      </c>
      <c r="K64" s="2" t="s">
        <v>68</v>
      </c>
      <c r="N64" s="4" t="s">
        <v>5</v>
      </c>
      <c r="O64" s="4" t="s">
        <v>9</v>
      </c>
      <c r="P64" s="2" t="s">
        <v>25</v>
      </c>
      <c r="Q64" s="2" t="s">
        <v>17</v>
      </c>
      <c r="R64" s="2" t="s">
        <v>43</v>
      </c>
      <c r="W64" s="4">
        <v>0</v>
      </c>
      <c r="X64" s="4">
        <v>0</v>
      </c>
      <c r="Y64" s="4">
        <v>0.5</v>
      </c>
      <c r="Z64" s="4">
        <f t="shared" si="0"/>
        <v>0.5</v>
      </c>
    </row>
    <row r="65" spans="1:26" ht="14.45" customHeight="1" x14ac:dyDescent="0.25">
      <c r="A65" s="2" t="s">
        <v>667</v>
      </c>
      <c r="B65" s="6" t="s">
        <v>668</v>
      </c>
      <c r="C65" s="3">
        <v>40436</v>
      </c>
      <c r="D65" s="2" t="s">
        <v>669</v>
      </c>
      <c r="E65" s="9" t="s">
        <v>226</v>
      </c>
      <c r="F65" s="2" t="s">
        <v>21</v>
      </c>
      <c r="K65" s="2" t="s">
        <v>72</v>
      </c>
      <c r="L65" s="2" t="s">
        <v>62</v>
      </c>
      <c r="N65" s="4" t="s">
        <v>7</v>
      </c>
      <c r="O65" s="4" t="s">
        <v>6</v>
      </c>
      <c r="P65" s="2" t="s">
        <v>25</v>
      </c>
      <c r="Q65" s="2" t="s">
        <v>17</v>
      </c>
      <c r="R65" s="2" t="s">
        <v>33</v>
      </c>
      <c r="W65" s="4">
        <v>0.5</v>
      </c>
      <c r="X65" s="4">
        <v>0.5</v>
      </c>
      <c r="Y65" s="4">
        <v>0</v>
      </c>
      <c r="Z65" s="4">
        <f t="shared" si="0"/>
        <v>1</v>
      </c>
    </row>
    <row r="66" spans="1:26" ht="14.45" customHeight="1" x14ac:dyDescent="0.25">
      <c r="A66" s="2" t="s">
        <v>227</v>
      </c>
      <c r="B66" s="5" t="s">
        <v>228</v>
      </c>
      <c r="C66" s="3">
        <v>40436</v>
      </c>
      <c r="D66" s="2" t="s">
        <v>229</v>
      </c>
      <c r="E66" s="9" t="s">
        <v>226</v>
      </c>
      <c r="F66" s="2" t="s">
        <v>54</v>
      </c>
      <c r="G66" s="2" t="s">
        <v>21</v>
      </c>
      <c r="K66" s="2" t="s">
        <v>67</v>
      </c>
      <c r="L66" s="2" t="s">
        <v>68</v>
      </c>
      <c r="N66" s="4" t="s">
        <v>4</v>
      </c>
      <c r="O66" s="4" t="s">
        <v>5</v>
      </c>
      <c r="P66" s="2" t="s">
        <v>25</v>
      </c>
      <c r="Q66" s="2" t="s">
        <v>17</v>
      </c>
      <c r="W66" s="4">
        <v>0</v>
      </c>
      <c r="X66" s="4">
        <v>0</v>
      </c>
      <c r="Y66" s="4">
        <v>1</v>
      </c>
      <c r="Z66" s="4">
        <f t="shared" si="0"/>
        <v>1</v>
      </c>
    </row>
    <row r="67" spans="1:26" ht="14.45" customHeight="1" x14ac:dyDescent="0.25">
      <c r="A67" s="2" t="s">
        <v>670</v>
      </c>
      <c r="B67" s="6" t="s">
        <v>671</v>
      </c>
      <c r="C67" s="3">
        <v>40436</v>
      </c>
      <c r="D67" s="2" t="s">
        <v>672</v>
      </c>
      <c r="E67" s="9" t="s">
        <v>226</v>
      </c>
      <c r="F67" s="2" t="s">
        <v>21</v>
      </c>
      <c r="K67" s="2" t="s">
        <v>68</v>
      </c>
      <c r="L67" s="2" t="s">
        <v>67</v>
      </c>
      <c r="N67" s="4" t="s">
        <v>8</v>
      </c>
      <c r="O67" s="4" t="s">
        <v>5</v>
      </c>
      <c r="P67" s="2" t="s">
        <v>25</v>
      </c>
      <c r="Q67" s="2" t="s">
        <v>17</v>
      </c>
      <c r="R67" s="2" t="s">
        <v>33</v>
      </c>
      <c r="S67" s="2" t="s">
        <v>43</v>
      </c>
      <c r="W67" s="4">
        <v>0</v>
      </c>
      <c r="X67" s="4">
        <v>0</v>
      </c>
      <c r="Y67" s="4">
        <v>0.5</v>
      </c>
      <c r="Z67" s="4">
        <f t="shared" si="0"/>
        <v>0.5</v>
      </c>
    </row>
    <row r="68" spans="1:26" ht="14.45" customHeight="1" x14ac:dyDescent="0.25">
      <c r="A68" s="2" t="s">
        <v>497</v>
      </c>
      <c r="B68" s="6" t="s">
        <v>498</v>
      </c>
      <c r="C68" s="3">
        <v>40436</v>
      </c>
      <c r="D68" s="2" t="s">
        <v>499</v>
      </c>
      <c r="E68" s="9" t="s">
        <v>226</v>
      </c>
      <c r="F68" s="2" t="s">
        <v>45</v>
      </c>
      <c r="K68" s="2" t="s">
        <v>68</v>
      </c>
      <c r="N68" s="4" t="s">
        <v>7</v>
      </c>
      <c r="O68" s="4" t="s">
        <v>9</v>
      </c>
      <c r="P68" s="2" t="s">
        <v>25</v>
      </c>
      <c r="Q68" s="2" t="s">
        <v>17</v>
      </c>
      <c r="R68" s="2" t="s">
        <v>33</v>
      </c>
      <c r="S68" s="2" t="s">
        <v>38</v>
      </c>
      <c r="W68" s="4">
        <v>0</v>
      </c>
      <c r="X68" s="4">
        <v>0</v>
      </c>
      <c r="Y68" s="4">
        <v>0.5</v>
      </c>
      <c r="Z68" s="4">
        <f t="shared" si="0"/>
        <v>0.5</v>
      </c>
    </row>
    <row r="69" spans="1:26" ht="14.45" customHeight="1" x14ac:dyDescent="0.25">
      <c r="A69" s="2" t="s">
        <v>223</v>
      </c>
      <c r="B69" s="5" t="s">
        <v>224</v>
      </c>
      <c r="C69" s="3">
        <v>40436</v>
      </c>
      <c r="D69" s="2" t="s">
        <v>225</v>
      </c>
      <c r="E69" s="9" t="s">
        <v>226</v>
      </c>
      <c r="F69" s="2" t="s">
        <v>54</v>
      </c>
      <c r="G69" s="2" t="s">
        <v>21</v>
      </c>
      <c r="K69" s="2" t="s">
        <v>68</v>
      </c>
      <c r="N69" s="4" t="s">
        <v>7</v>
      </c>
      <c r="O69" s="4" t="s">
        <v>8</v>
      </c>
      <c r="P69" s="2" t="s">
        <v>25</v>
      </c>
      <c r="Q69" s="2" t="s">
        <v>17</v>
      </c>
      <c r="R69" s="2" t="s">
        <v>33</v>
      </c>
      <c r="W69" s="4">
        <v>0</v>
      </c>
      <c r="X69" s="4">
        <v>0</v>
      </c>
      <c r="Y69" s="4">
        <v>0.5</v>
      </c>
      <c r="Z69" s="4">
        <f t="shared" ref="Z69:Z132" si="1">SUM(W69:Y69)</f>
        <v>0.5</v>
      </c>
    </row>
    <row r="70" spans="1:26" ht="14.45" customHeight="1" x14ac:dyDescent="0.25">
      <c r="A70" s="2" t="s">
        <v>501</v>
      </c>
      <c r="B70" s="6" t="s">
        <v>502</v>
      </c>
      <c r="C70" s="3">
        <v>40413</v>
      </c>
      <c r="D70" s="2" t="s">
        <v>503</v>
      </c>
      <c r="E70" s="9" t="s">
        <v>500</v>
      </c>
      <c r="F70" s="2" t="s">
        <v>45</v>
      </c>
      <c r="N70" s="4" t="s">
        <v>8</v>
      </c>
      <c r="P70" s="2" t="s">
        <v>25</v>
      </c>
      <c r="Q70" s="2" t="s">
        <v>42</v>
      </c>
      <c r="R70" s="2" t="s">
        <v>43</v>
      </c>
      <c r="W70" s="4">
        <v>0</v>
      </c>
      <c r="X70" s="4">
        <v>0</v>
      </c>
      <c r="Y70" s="4">
        <v>0</v>
      </c>
      <c r="Z70" s="4">
        <f t="shared" si="1"/>
        <v>0</v>
      </c>
    </row>
    <row r="71" spans="1:26" ht="14.45" customHeight="1" x14ac:dyDescent="0.25">
      <c r="A71" s="2" t="s">
        <v>674</v>
      </c>
      <c r="B71" s="6" t="s">
        <v>675</v>
      </c>
      <c r="C71" s="3">
        <v>40389</v>
      </c>
      <c r="D71" s="2" t="s">
        <v>676</v>
      </c>
      <c r="E71" s="9" t="s">
        <v>673</v>
      </c>
      <c r="F71" s="2" t="s">
        <v>21</v>
      </c>
      <c r="K71" s="2" t="s">
        <v>75</v>
      </c>
      <c r="L71" s="2" t="s">
        <v>60</v>
      </c>
      <c r="N71" s="4" t="s">
        <v>4</v>
      </c>
      <c r="O71" s="4" t="s">
        <v>5</v>
      </c>
      <c r="P71" s="2" t="s">
        <v>14</v>
      </c>
      <c r="Q71" s="2" t="s">
        <v>43</v>
      </c>
      <c r="R71" s="2" t="s">
        <v>45</v>
      </c>
      <c r="S71" s="2" t="s">
        <v>21</v>
      </c>
      <c r="W71" s="4">
        <v>0.5</v>
      </c>
      <c r="X71" s="4">
        <v>0</v>
      </c>
      <c r="Y71" s="4">
        <v>0.5</v>
      </c>
      <c r="Z71" s="4">
        <f t="shared" si="1"/>
        <v>1</v>
      </c>
    </row>
    <row r="72" spans="1:26" ht="14.45" customHeight="1" x14ac:dyDescent="0.25">
      <c r="A72" s="2" t="s">
        <v>89</v>
      </c>
      <c r="B72" s="5" t="s">
        <v>90</v>
      </c>
      <c r="C72" s="3">
        <v>40379</v>
      </c>
      <c r="D72" s="2" t="s">
        <v>181</v>
      </c>
      <c r="E72" s="2" t="s">
        <v>91</v>
      </c>
      <c r="F72" s="2" t="s">
        <v>55</v>
      </c>
      <c r="G72" s="2" t="s">
        <v>54</v>
      </c>
      <c r="K72" s="2" t="s">
        <v>68</v>
      </c>
      <c r="N72" s="4" t="s">
        <v>7</v>
      </c>
      <c r="O72" s="4" t="s">
        <v>9</v>
      </c>
      <c r="P72" s="2" t="s">
        <v>25</v>
      </c>
      <c r="Q72" s="2" t="s">
        <v>24</v>
      </c>
      <c r="R72" s="2" t="s">
        <v>15</v>
      </c>
      <c r="W72" s="4">
        <v>0</v>
      </c>
      <c r="X72" s="4">
        <v>0</v>
      </c>
      <c r="Y72" s="4">
        <v>0.5</v>
      </c>
      <c r="Z72" s="4">
        <f t="shared" si="1"/>
        <v>0.5</v>
      </c>
    </row>
    <row r="73" spans="1:26" ht="14.45" customHeight="1" x14ac:dyDescent="0.25">
      <c r="A73" s="4" t="s">
        <v>92</v>
      </c>
      <c r="B73" s="5" t="s">
        <v>93</v>
      </c>
      <c r="C73" s="3">
        <v>40366</v>
      </c>
      <c r="D73" s="2" t="s">
        <v>94</v>
      </c>
      <c r="E73" s="2" t="s">
        <v>95</v>
      </c>
      <c r="F73" s="2" t="s">
        <v>55</v>
      </c>
      <c r="K73" s="2" t="s">
        <v>67</v>
      </c>
      <c r="L73" s="2" t="s">
        <v>71</v>
      </c>
      <c r="M73" s="2" t="s">
        <v>75</v>
      </c>
      <c r="N73" s="4" t="s">
        <v>4</v>
      </c>
      <c r="O73" s="4" t="s">
        <v>5</v>
      </c>
      <c r="P73" s="2" t="s">
        <v>40</v>
      </c>
      <c r="W73" s="4">
        <v>0.5</v>
      </c>
      <c r="X73" s="4">
        <v>0.5</v>
      </c>
      <c r="Y73" s="4">
        <v>0.5</v>
      </c>
      <c r="Z73" s="4">
        <f t="shared" si="1"/>
        <v>1.5</v>
      </c>
    </row>
    <row r="74" spans="1:26" ht="14.45" customHeight="1" x14ac:dyDescent="0.25">
      <c r="A74" s="2" t="s">
        <v>677</v>
      </c>
      <c r="B74" s="6" t="s">
        <v>678</v>
      </c>
      <c r="C74" s="3">
        <v>40366</v>
      </c>
      <c r="D74" s="2" t="s">
        <v>679</v>
      </c>
      <c r="E74" s="2" t="s">
        <v>95</v>
      </c>
      <c r="F74" s="2" t="s">
        <v>21</v>
      </c>
      <c r="K74" s="2" t="s">
        <v>75</v>
      </c>
      <c r="L74" s="2" t="s">
        <v>62</v>
      </c>
      <c r="M74" s="2" t="s">
        <v>72</v>
      </c>
      <c r="N74" s="4" t="s">
        <v>5</v>
      </c>
      <c r="O74" s="4" t="s">
        <v>7</v>
      </c>
      <c r="P74" s="2" t="s">
        <v>25</v>
      </c>
      <c r="Q74" s="2" t="s">
        <v>17</v>
      </c>
      <c r="R74" s="2" t="s">
        <v>33</v>
      </c>
      <c r="S74" s="2" t="s">
        <v>39</v>
      </c>
      <c r="W74" s="4">
        <v>0.5</v>
      </c>
      <c r="X74" s="4">
        <v>0.5</v>
      </c>
      <c r="Y74" s="4">
        <v>0</v>
      </c>
      <c r="Z74" s="4">
        <f t="shared" si="1"/>
        <v>1</v>
      </c>
    </row>
    <row r="75" spans="1:26" ht="14.45" customHeight="1" x14ac:dyDescent="0.25">
      <c r="A75" s="2" t="s">
        <v>96</v>
      </c>
      <c r="B75" s="5" t="s">
        <v>97</v>
      </c>
      <c r="C75" s="3">
        <v>40351</v>
      </c>
      <c r="D75" s="2" t="s">
        <v>98</v>
      </c>
      <c r="E75" s="2" t="s">
        <v>230</v>
      </c>
      <c r="F75" s="2" t="s">
        <v>55</v>
      </c>
      <c r="N75" s="4" t="s">
        <v>7</v>
      </c>
      <c r="O75" s="4" t="s">
        <v>9</v>
      </c>
      <c r="P75" s="2" t="s">
        <v>25</v>
      </c>
      <c r="Q75" s="2" t="s">
        <v>17</v>
      </c>
      <c r="R75" s="2" t="s">
        <v>35</v>
      </c>
      <c r="S75" s="2" t="s">
        <v>42</v>
      </c>
      <c r="W75" s="4">
        <v>0</v>
      </c>
      <c r="X75" s="4">
        <v>0</v>
      </c>
      <c r="Y75" s="4">
        <v>0</v>
      </c>
      <c r="Z75" s="4">
        <f t="shared" si="1"/>
        <v>0</v>
      </c>
    </row>
    <row r="76" spans="1:26" ht="14.45" customHeight="1" x14ac:dyDescent="0.25">
      <c r="A76" s="2" t="s">
        <v>684</v>
      </c>
      <c r="B76" s="6" t="s">
        <v>685</v>
      </c>
      <c r="C76" s="3">
        <v>40336</v>
      </c>
      <c r="D76" s="2" t="s">
        <v>686</v>
      </c>
      <c r="E76" s="2" t="s">
        <v>680</v>
      </c>
      <c r="F76" s="2" t="s">
        <v>21</v>
      </c>
      <c r="K76" s="2" t="s">
        <v>68</v>
      </c>
      <c r="L76" s="2" t="s">
        <v>72</v>
      </c>
      <c r="N76" s="4" t="s">
        <v>8</v>
      </c>
      <c r="O76" s="4" t="s">
        <v>5</v>
      </c>
      <c r="P76" s="2" t="s">
        <v>41</v>
      </c>
      <c r="Q76" s="2" t="s">
        <v>43</v>
      </c>
      <c r="W76" s="4">
        <v>0</v>
      </c>
      <c r="X76" s="4">
        <v>0.5</v>
      </c>
      <c r="Y76" s="4">
        <v>0.5</v>
      </c>
      <c r="Z76" s="4">
        <f t="shared" si="1"/>
        <v>1</v>
      </c>
    </row>
    <row r="77" spans="1:26" ht="14.45" customHeight="1" x14ac:dyDescent="0.25">
      <c r="A77" s="2" t="s">
        <v>681</v>
      </c>
      <c r="B77" s="6" t="s">
        <v>682</v>
      </c>
      <c r="C77" s="3">
        <v>40336</v>
      </c>
      <c r="D77" s="2" t="s">
        <v>683</v>
      </c>
      <c r="E77" s="2" t="s">
        <v>680</v>
      </c>
      <c r="F77" s="2" t="s">
        <v>21</v>
      </c>
      <c r="K77" s="2" t="s">
        <v>68</v>
      </c>
      <c r="N77" s="4" t="s">
        <v>5</v>
      </c>
      <c r="O77" s="4" t="s">
        <v>8</v>
      </c>
      <c r="P77" s="2" t="s">
        <v>41</v>
      </c>
      <c r="Q77" s="2" t="s">
        <v>43</v>
      </c>
      <c r="W77" s="4">
        <v>0</v>
      </c>
      <c r="X77" s="4">
        <v>0</v>
      </c>
      <c r="Y77" s="4">
        <v>0.5</v>
      </c>
      <c r="Z77" s="4">
        <f t="shared" si="1"/>
        <v>0.5</v>
      </c>
    </row>
    <row r="78" spans="1:26" ht="14.45" customHeight="1" x14ac:dyDescent="0.25">
      <c r="A78" s="2" t="s">
        <v>688</v>
      </c>
      <c r="B78" s="6" t="s">
        <v>689</v>
      </c>
      <c r="C78" s="3">
        <v>40304</v>
      </c>
      <c r="D78" s="2" t="s">
        <v>690</v>
      </c>
      <c r="E78" s="2" t="s">
        <v>687</v>
      </c>
      <c r="F78" s="2" t="s">
        <v>21</v>
      </c>
      <c r="K78" s="2" t="s">
        <v>68</v>
      </c>
      <c r="L78" s="2" t="s">
        <v>72</v>
      </c>
      <c r="N78" s="4" t="s">
        <v>5</v>
      </c>
      <c r="O78" s="4" t="s">
        <v>8</v>
      </c>
      <c r="P78" s="2" t="s">
        <v>25</v>
      </c>
      <c r="Q78" s="2" t="s">
        <v>36</v>
      </c>
      <c r="R78" s="2" t="s">
        <v>17</v>
      </c>
      <c r="S78" s="2" t="s">
        <v>45</v>
      </c>
      <c r="T78" s="2" t="s">
        <v>21</v>
      </c>
      <c r="W78" s="4">
        <v>0</v>
      </c>
      <c r="X78" s="4">
        <v>0.5</v>
      </c>
      <c r="Y78" s="4">
        <v>0.5</v>
      </c>
      <c r="Z78" s="4">
        <f t="shared" si="1"/>
        <v>1</v>
      </c>
    </row>
    <row r="79" spans="1:26" ht="13.9" customHeight="1" x14ac:dyDescent="0.25">
      <c r="A79" s="2" t="s">
        <v>352</v>
      </c>
      <c r="B79" s="6" t="s">
        <v>1173</v>
      </c>
      <c r="C79" s="3">
        <v>40285</v>
      </c>
      <c r="D79" s="2" t="s">
        <v>353</v>
      </c>
      <c r="E79" s="2" t="s">
        <v>102</v>
      </c>
      <c r="F79" s="2" t="s">
        <v>56</v>
      </c>
      <c r="K79" s="2" t="s">
        <v>65</v>
      </c>
      <c r="L79" s="2" t="s">
        <v>72</v>
      </c>
      <c r="M79" s="2" t="s">
        <v>69</v>
      </c>
      <c r="N79" s="4" t="s">
        <v>8</v>
      </c>
      <c r="P79" s="2" t="s">
        <v>25</v>
      </c>
      <c r="Q79" s="2" t="s">
        <v>40</v>
      </c>
      <c r="R79" s="2" t="s">
        <v>20</v>
      </c>
      <c r="W79" s="4">
        <v>1</v>
      </c>
      <c r="X79" s="4">
        <v>1</v>
      </c>
      <c r="Y79" s="4">
        <v>0.5</v>
      </c>
      <c r="Z79" s="4">
        <f t="shared" si="1"/>
        <v>2.5</v>
      </c>
    </row>
    <row r="80" spans="1:26" ht="14.45" customHeight="1" x14ac:dyDescent="0.25">
      <c r="A80" s="2" t="s">
        <v>691</v>
      </c>
      <c r="B80" s="6" t="s">
        <v>692</v>
      </c>
      <c r="C80" s="3">
        <v>40285</v>
      </c>
      <c r="D80" s="2" t="s">
        <v>693</v>
      </c>
      <c r="E80" s="2" t="s">
        <v>102</v>
      </c>
      <c r="F80" s="2" t="s">
        <v>21</v>
      </c>
      <c r="K80" s="2" t="s">
        <v>62</v>
      </c>
      <c r="L80" s="2" t="s">
        <v>72</v>
      </c>
      <c r="M80" s="2" t="s">
        <v>73</v>
      </c>
      <c r="N80" s="4" t="s">
        <v>4</v>
      </c>
      <c r="O80" s="4" t="s">
        <v>5</v>
      </c>
      <c r="P80" s="2" t="s">
        <v>40</v>
      </c>
      <c r="Q80" s="2" t="s">
        <v>20</v>
      </c>
      <c r="W80" s="4">
        <v>1</v>
      </c>
      <c r="X80" s="4">
        <v>1</v>
      </c>
      <c r="Y80" s="4">
        <v>0.5</v>
      </c>
      <c r="Z80" s="4">
        <f t="shared" si="1"/>
        <v>2.5</v>
      </c>
    </row>
    <row r="81" spans="1:26" ht="14.45" customHeight="1" x14ac:dyDescent="0.25">
      <c r="A81" s="4" t="s">
        <v>234</v>
      </c>
      <c r="B81" s="5" t="s">
        <v>235</v>
      </c>
      <c r="C81" s="3">
        <v>40285</v>
      </c>
      <c r="D81" s="2" t="s">
        <v>236</v>
      </c>
      <c r="E81" s="9" t="s">
        <v>102</v>
      </c>
      <c r="F81" s="2" t="s">
        <v>54</v>
      </c>
      <c r="G81" s="2" t="s">
        <v>21</v>
      </c>
      <c r="K81" s="2" t="s">
        <v>75</v>
      </c>
      <c r="L81" s="2" t="s">
        <v>67</v>
      </c>
      <c r="M81" s="2" t="s">
        <v>70</v>
      </c>
      <c r="N81" s="4" t="s">
        <v>4</v>
      </c>
      <c r="O81" s="4" t="s">
        <v>6</v>
      </c>
      <c r="P81" s="2" t="s">
        <v>25</v>
      </c>
      <c r="Q81" s="2" t="s">
        <v>20</v>
      </c>
      <c r="R81" s="2" t="s">
        <v>21</v>
      </c>
      <c r="W81" s="4">
        <v>1</v>
      </c>
      <c r="X81" s="4">
        <v>0</v>
      </c>
      <c r="Y81" s="4">
        <v>1</v>
      </c>
      <c r="Z81" s="4">
        <f t="shared" si="1"/>
        <v>2</v>
      </c>
    </row>
    <row r="82" spans="1:26" ht="14.45" customHeight="1" x14ac:dyDescent="0.25">
      <c r="A82" s="4" t="s">
        <v>104</v>
      </c>
      <c r="B82" s="5" t="s">
        <v>103</v>
      </c>
      <c r="C82" s="3">
        <v>40285</v>
      </c>
      <c r="D82" s="2" t="s">
        <v>105</v>
      </c>
      <c r="E82" s="4" t="s">
        <v>102</v>
      </c>
      <c r="F82" s="2" t="s">
        <v>55</v>
      </c>
      <c r="G82" s="2" t="s">
        <v>54</v>
      </c>
      <c r="H82" s="2" t="s">
        <v>45</v>
      </c>
      <c r="I82" s="2" t="s">
        <v>21</v>
      </c>
      <c r="K82" s="2" t="s">
        <v>62</v>
      </c>
      <c r="L82" s="2" t="s">
        <v>65</v>
      </c>
      <c r="M82" s="2" t="s">
        <v>73</v>
      </c>
      <c r="N82" s="4" t="s">
        <v>4</v>
      </c>
      <c r="P82" s="2" t="s">
        <v>25</v>
      </c>
      <c r="Q82" s="2" t="s">
        <v>20</v>
      </c>
      <c r="R82" s="2" t="s">
        <v>21</v>
      </c>
      <c r="W82" s="4">
        <v>1</v>
      </c>
      <c r="X82" s="4">
        <v>0.5</v>
      </c>
      <c r="Y82" s="4">
        <v>0.5</v>
      </c>
      <c r="Z82" s="4">
        <f t="shared" si="1"/>
        <v>2</v>
      </c>
    </row>
    <row r="83" spans="1:26" ht="14.45" customHeight="1" x14ac:dyDescent="0.25">
      <c r="A83" s="2" t="s">
        <v>694</v>
      </c>
      <c r="B83" s="6" t="s">
        <v>695</v>
      </c>
      <c r="C83" s="3">
        <v>40285</v>
      </c>
      <c r="D83" s="2" t="s">
        <v>696</v>
      </c>
      <c r="E83" s="2" t="s">
        <v>102</v>
      </c>
      <c r="F83" s="2" t="s">
        <v>21</v>
      </c>
      <c r="K83" s="2" t="s">
        <v>67</v>
      </c>
      <c r="L83" s="2" t="s">
        <v>72</v>
      </c>
      <c r="M83" s="2" t="s">
        <v>62</v>
      </c>
      <c r="N83" s="4" t="s">
        <v>4</v>
      </c>
      <c r="O83" s="4" t="s">
        <v>5</v>
      </c>
      <c r="P83" s="2" t="s">
        <v>40</v>
      </c>
      <c r="Q83" s="2" t="s">
        <v>20</v>
      </c>
      <c r="W83" s="4">
        <v>0.5</v>
      </c>
      <c r="X83" s="4">
        <v>0.5</v>
      </c>
      <c r="Y83" s="4">
        <v>0.5</v>
      </c>
      <c r="Z83" s="4">
        <f t="shared" si="1"/>
        <v>1.5</v>
      </c>
    </row>
    <row r="84" spans="1:26" ht="13.9" customHeight="1" x14ac:dyDescent="0.25">
      <c r="A84" s="2" t="s">
        <v>507</v>
      </c>
      <c r="B84" s="6" t="s">
        <v>508</v>
      </c>
      <c r="C84" s="3">
        <v>40285</v>
      </c>
      <c r="D84" s="2" t="s">
        <v>509</v>
      </c>
      <c r="E84" s="2" t="s">
        <v>102</v>
      </c>
      <c r="F84" s="2" t="s">
        <v>45</v>
      </c>
      <c r="K84" s="2" t="s">
        <v>62</v>
      </c>
      <c r="L84" s="2" t="s">
        <v>75</v>
      </c>
      <c r="N84" s="4" t="s">
        <v>5</v>
      </c>
      <c r="O84" s="4" t="s">
        <v>8</v>
      </c>
      <c r="P84" s="2" t="s">
        <v>14</v>
      </c>
      <c r="Q84" s="2" t="s">
        <v>25</v>
      </c>
      <c r="R84" s="2" t="s">
        <v>20</v>
      </c>
      <c r="S84" s="2" t="s">
        <v>21</v>
      </c>
      <c r="W84" s="4">
        <v>1</v>
      </c>
      <c r="X84" s="4">
        <v>0</v>
      </c>
      <c r="Y84" s="4">
        <v>0.5</v>
      </c>
      <c r="Z84" s="4">
        <f t="shared" si="1"/>
        <v>1.5</v>
      </c>
    </row>
    <row r="85" spans="1:26" ht="14.45" customHeight="1" x14ac:dyDescent="0.25">
      <c r="A85" s="2" t="s">
        <v>106</v>
      </c>
      <c r="B85" s="5" t="s">
        <v>107</v>
      </c>
      <c r="C85" s="3">
        <v>40285</v>
      </c>
      <c r="D85" s="2" t="s">
        <v>108</v>
      </c>
      <c r="E85" s="4" t="s">
        <v>102</v>
      </c>
      <c r="F85" s="2" t="s">
        <v>55</v>
      </c>
      <c r="K85" s="2" t="s">
        <v>62</v>
      </c>
      <c r="L85" s="2" t="s">
        <v>64</v>
      </c>
      <c r="M85" s="2" t="s">
        <v>65</v>
      </c>
      <c r="N85" s="4" t="s">
        <v>4</v>
      </c>
      <c r="O85" s="4" t="s">
        <v>5</v>
      </c>
      <c r="P85" s="2" t="s">
        <v>47</v>
      </c>
      <c r="Q85" s="2" t="s">
        <v>20</v>
      </c>
      <c r="W85" s="4">
        <v>1</v>
      </c>
      <c r="X85" s="4">
        <v>0</v>
      </c>
      <c r="Y85" s="4">
        <v>0</v>
      </c>
      <c r="Z85" s="4">
        <f t="shared" si="1"/>
        <v>1</v>
      </c>
    </row>
    <row r="86" spans="1:26" ht="14.45" customHeight="1" x14ac:dyDescent="0.25">
      <c r="A86" s="2" t="s">
        <v>110</v>
      </c>
      <c r="B86" s="5" t="s">
        <v>109</v>
      </c>
      <c r="C86" s="3">
        <v>40285</v>
      </c>
      <c r="D86" s="2" t="s">
        <v>111</v>
      </c>
      <c r="E86" s="4" t="s">
        <v>102</v>
      </c>
      <c r="F86" s="2" t="s">
        <v>55</v>
      </c>
      <c r="G86" s="2" t="s">
        <v>54</v>
      </c>
      <c r="H86" s="2" t="s">
        <v>187</v>
      </c>
      <c r="K86" s="2" t="s">
        <v>65</v>
      </c>
      <c r="L86" s="2" t="s">
        <v>62</v>
      </c>
      <c r="M86" s="2" t="s">
        <v>64</v>
      </c>
      <c r="N86" s="4" t="s">
        <v>4</v>
      </c>
      <c r="O86" s="4" t="s">
        <v>5</v>
      </c>
      <c r="P86" s="2" t="s">
        <v>25</v>
      </c>
      <c r="Q86" s="2" t="s">
        <v>20</v>
      </c>
      <c r="W86" s="4">
        <v>1</v>
      </c>
      <c r="X86" s="4">
        <v>0</v>
      </c>
      <c r="Y86" s="4">
        <v>0</v>
      </c>
      <c r="Z86" s="4">
        <f t="shared" si="1"/>
        <v>1</v>
      </c>
    </row>
    <row r="87" spans="1:26" ht="14.45" customHeight="1" x14ac:dyDescent="0.25">
      <c r="A87" s="2" t="s">
        <v>231</v>
      </c>
      <c r="B87" s="5" t="s">
        <v>232</v>
      </c>
      <c r="C87" s="3">
        <v>40285</v>
      </c>
      <c r="D87" s="2" t="s">
        <v>233</v>
      </c>
      <c r="E87" s="2" t="s">
        <v>102</v>
      </c>
      <c r="F87" s="2" t="s">
        <v>54</v>
      </c>
      <c r="K87" s="2" t="s">
        <v>65</v>
      </c>
      <c r="L87" s="2" t="s">
        <v>62</v>
      </c>
      <c r="M87" s="2" t="s">
        <v>59</v>
      </c>
      <c r="N87" s="4" t="s">
        <v>5</v>
      </c>
      <c r="P87" s="2" t="s">
        <v>47</v>
      </c>
      <c r="Q87" s="2" t="s">
        <v>20</v>
      </c>
      <c r="R87" s="2" t="s">
        <v>21</v>
      </c>
      <c r="W87" s="4">
        <v>1</v>
      </c>
      <c r="X87" s="4">
        <v>0</v>
      </c>
      <c r="Y87" s="4">
        <v>0</v>
      </c>
      <c r="Z87" s="4">
        <f t="shared" si="1"/>
        <v>1</v>
      </c>
    </row>
    <row r="88" spans="1:26" ht="14.45" customHeight="1" x14ac:dyDescent="0.25">
      <c r="A88" s="4" t="s">
        <v>1039</v>
      </c>
      <c r="B88" s="6" t="s">
        <v>1040</v>
      </c>
      <c r="C88" s="3">
        <v>40285</v>
      </c>
      <c r="D88" s="2" t="s">
        <v>1041</v>
      </c>
      <c r="E88" s="9" t="s">
        <v>102</v>
      </c>
      <c r="F88" s="2" t="s">
        <v>187</v>
      </c>
      <c r="K88" s="2" t="s">
        <v>65</v>
      </c>
      <c r="L88" s="2" t="s">
        <v>62</v>
      </c>
      <c r="N88" s="4" t="s">
        <v>4</v>
      </c>
      <c r="O88" s="4" t="s">
        <v>8</v>
      </c>
      <c r="P88" s="2" t="s">
        <v>25</v>
      </c>
      <c r="Q88" s="2" t="s">
        <v>20</v>
      </c>
      <c r="W88" s="4">
        <v>1</v>
      </c>
      <c r="X88" s="4">
        <v>0</v>
      </c>
      <c r="Y88" s="4">
        <v>0</v>
      </c>
      <c r="Z88" s="4">
        <f t="shared" si="1"/>
        <v>1</v>
      </c>
    </row>
    <row r="89" spans="1:26" ht="14.45" customHeight="1" x14ac:dyDescent="0.25">
      <c r="A89" s="4" t="s">
        <v>99</v>
      </c>
      <c r="B89" s="5" t="s">
        <v>100</v>
      </c>
      <c r="C89" s="3">
        <v>40285</v>
      </c>
      <c r="D89" s="2" t="s">
        <v>101</v>
      </c>
      <c r="E89" s="2" t="s">
        <v>102</v>
      </c>
      <c r="F89" s="2" t="s">
        <v>55</v>
      </c>
      <c r="G89" s="2" t="s">
        <v>187</v>
      </c>
      <c r="H89" s="2" t="s">
        <v>1032</v>
      </c>
      <c r="K89" s="2" t="s">
        <v>62</v>
      </c>
      <c r="L89" s="2" t="s">
        <v>65</v>
      </c>
      <c r="N89" s="4" t="s">
        <v>4</v>
      </c>
      <c r="P89" s="2" t="s">
        <v>25</v>
      </c>
      <c r="Q89" s="2" t="s">
        <v>23</v>
      </c>
      <c r="R89" s="2" t="s">
        <v>20</v>
      </c>
      <c r="W89" s="4">
        <v>1</v>
      </c>
      <c r="X89" s="4">
        <v>0</v>
      </c>
      <c r="Y89" s="4">
        <v>0</v>
      </c>
      <c r="Z89" s="4">
        <f t="shared" si="1"/>
        <v>1</v>
      </c>
    </row>
    <row r="90" spans="1:26" ht="14.45" customHeight="1" x14ac:dyDescent="0.25">
      <c r="A90" s="2" t="s">
        <v>240</v>
      </c>
      <c r="B90" s="5" t="s">
        <v>241</v>
      </c>
      <c r="C90" s="3">
        <v>40285</v>
      </c>
      <c r="D90" s="2" t="s">
        <v>242</v>
      </c>
      <c r="E90" s="9" t="s">
        <v>102</v>
      </c>
      <c r="F90" s="2" t="s">
        <v>54</v>
      </c>
      <c r="K90" s="2" t="s">
        <v>62</v>
      </c>
      <c r="L90" s="2" t="s">
        <v>65</v>
      </c>
      <c r="N90" s="4" t="s">
        <v>4</v>
      </c>
      <c r="P90" s="2" t="s">
        <v>25</v>
      </c>
      <c r="Q90" s="2" t="s">
        <v>47</v>
      </c>
      <c r="R90" s="2" t="s">
        <v>20</v>
      </c>
      <c r="W90" s="4">
        <v>1</v>
      </c>
      <c r="X90" s="4">
        <v>0</v>
      </c>
      <c r="Y90" s="4">
        <v>0</v>
      </c>
      <c r="Z90" s="4">
        <f t="shared" si="1"/>
        <v>1</v>
      </c>
    </row>
    <row r="91" spans="1:26" ht="13.9" customHeight="1" x14ac:dyDescent="0.25">
      <c r="A91" s="2" t="s">
        <v>504</v>
      </c>
      <c r="B91" s="6" t="s">
        <v>505</v>
      </c>
      <c r="C91" s="3">
        <v>40285</v>
      </c>
      <c r="D91" s="2" t="s">
        <v>506</v>
      </c>
      <c r="E91" s="2" t="s">
        <v>102</v>
      </c>
      <c r="F91" s="2" t="s">
        <v>45</v>
      </c>
      <c r="K91" s="2" t="s">
        <v>62</v>
      </c>
      <c r="L91" s="2" t="s">
        <v>75</v>
      </c>
      <c r="N91" s="4" t="s">
        <v>5</v>
      </c>
      <c r="O91" s="4" t="s">
        <v>8</v>
      </c>
      <c r="P91" s="2" t="s">
        <v>14</v>
      </c>
      <c r="Q91" s="2" t="s">
        <v>20</v>
      </c>
      <c r="R91" s="2" t="s">
        <v>21</v>
      </c>
      <c r="W91" s="4">
        <v>1</v>
      </c>
      <c r="X91" s="4">
        <v>0</v>
      </c>
      <c r="Y91" s="4">
        <v>0</v>
      </c>
      <c r="Z91" s="4">
        <f t="shared" si="1"/>
        <v>1</v>
      </c>
    </row>
    <row r="92" spans="1:26" ht="14.45" customHeight="1" x14ac:dyDescent="0.25">
      <c r="A92" s="4" t="s">
        <v>697</v>
      </c>
      <c r="B92" s="6" t="s">
        <v>698</v>
      </c>
      <c r="C92" s="3">
        <v>40285</v>
      </c>
      <c r="D92" s="2" t="s">
        <v>699</v>
      </c>
      <c r="E92" s="9" t="s">
        <v>102</v>
      </c>
      <c r="F92" s="2" t="s">
        <v>21</v>
      </c>
      <c r="G92" s="2" t="s">
        <v>187</v>
      </c>
      <c r="K92" s="2" t="s">
        <v>62</v>
      </c>
      <c r="L92" s="2" t="s">
        <v>63</v>
      </c>
      <c r="N92" s="4" t="s">
        <v>4</v>
      </c>
      <c r="O92" s="4" t="s">
        <v>8</v>
      </c>
      <c r="P92" s="2" t="s">
        <v>14</v>
      </c>
      <c r="Q92" s="2" t="s">
        <v>41</v>
      </c>
      <c r="R92" s="2" t="s">
        <v>26</v>
      </c>
      <c r="S92" s="2" t="s">
        <v>20</v>
      </c>
      <c r="T92" s="2" t="s">
        <v>21</v>
      </c>
      <c r="W92" s="4">
        <v>1</v>
      </c>
      <c r="X92" s="4">
        <v>0</v>
      </c>
      <c r="Y92" s="4">
        <v>0</v>
      </c>
      <c r="Z92" s="4">
        <f t="shared" si="1"/>
        <v>1</v>
      </c>
    </row>
    <row r="93" spans="1:26" ht="14.45" customHeight="1" x14ac:dyDescent="0.25">
      <c r="A93" s="2" t="s">
        <v>238</v>
      </c>
      <c r="B93" s="5" t="s">
        <v>237</v>
      </c>
      <c r="C93" s="3">
        <v>40285</v>
      </c>
      <c r="D93" s="2" t="s">
        <v>239</v>
      </c>
      <c r="E93" s="9" t="s">
        <v>102</v>
      </c>
      <c r="F93" s="2" t="s">
        <v>54</v>
      </c>
      <c r="G93" s="2" t="s">
        <v>1032</v>
      </c>
      <c r="K93" s="2" t="s">
        <v>72</v>
      </c>
      <c r="L93" s="2" t="s">
        <v>68</v>
      </c>
      <c r="N93" s="4" t="s">
        <v>8</v>
      </c>
      <c r="O93" s="4" t="s">
        <v>9</v>
      </c>
      <c r="P93" s="2" t="s">
        <v>25</v>
      </c>
      <c r="Q93" s="2" t="s">
        <v>47</v>
      </c>
      <c r="R93" s="2" t="s">
        <v>20</v>
      </c>
      <c r="W93" s="4">
        <v>0</v>
      </c>
      <c r="X93" s="4">
        <v>0.5</v>
      </c>
      <c r="Y93" s="4">
        <v>0.5</v>
      </c>
      <c r="Z93" s="4">
        <f t="shared" si="1"/>
        <v>1</v>
      </c>
    </row>
    <row r="94" spans="1:26" ht="14.45" customHeight="1" x14ac:dyDescent="0.25">
      <c r="A94" s="2" t="s">
        <v>1036</v>
      </c>
      <c r="B94" s="6" t="s">
        <v>1037</v>
      </c>
      <c r="C94" s="3">
        <v>40285</v>
      </c>
      <c r="D94" s="2" t="s">
        <v>1038</v>
      </c>
      <c r="E94" s="2" t="s">
        <v>102</v>
      </c>
      <c r="F94" s="2" t="s">
        <v>187</v>
      </c>
      <c r="K94" s="2" t="s">
        <v>62</v>
      </c>
      <c r="L94" s="2" t="s">
        <v>581</v>
      </c>
      <c r="N94" s="4" t="s">
        <v>4</v>
      </c>
      <c r="O94" s="4" t="s">
        <v>5</v>
      </c>
      <c r="P94" s="2" t="s">
        <v>40</v>
      </c>
      <c r="Q94" s="2" t="s">
        <v>20</v>
      </c>
      <c r="R94" s="2" t="s">
        <v>21</v>
      </c>
      <c r="W94" s="4">
        <v>0.5</v>
      </c>
      <c r="X94" s="4">
        <v>0</v>
      </c>
      <c r="Y94" s="4">
        <v>0</v>
      </c>
      <c r="Z94" s="4">
        <f t="shared" si="1"/>
        <v>0.5</v>
      </c>
    </row>
    <row r="95" spans="1:26" ht="14.45" customHeight="1" x14ac:dyDescent="0.25">
      <c r="A95" s="2" t="s">
        <v>1045</v>
      </c>
      <c r="B95" s="6" t="s">
        <v>1046</v>
      </c>
      <c r="C95" s="3">
        <v>40277</v>
      </c>
      <c r="D95" s="2" t="s">
        <v>1047</v>
      </c>
      <c r="E95" s="9" t="s">
        <v>102</v>
      </c>
      <c r="F95" s="2" t="s">
        <v>187</v>
      </c>
      <c r="K95" s="2" t="s">
        <v>62</v>
      </c>
      <c r="L95" s="2" t="s">
        <v>72</v>
      </c>
      <c r="N95" s="4" t="s">
        <v>4</v>
      </c>
      <c r="O95" s="4" t="s">
        <v>5</v>
      </c>
      <c r="P95" s="2" t="s">
        <v>20</v>
      </c>
      <c r="W95" s="4">
        <v>0.5</v>
      </c>
      <c r="X95" s="4">
        <v>0.5</v>
      </c>
      <c r="Y95" s="4">
        <v>0</v>
      </c>
      <c r="Z95" s="4">
        <f t="shared" si="1"/>
        <v>1</v>
      </c>
    </row>
    <row r="96" spans="1:26" ht="14.45" customHeight="1" x14ac:dyDescent="0.25">
      <c r="A96" s="2" t="s">
        <v>243</v>
      </c>
      <c r="B96" s="5" t="s">
        <v>244</v>
      </c>
      <c r="C96" s="3">
        <v>40277</v>
      </c>
      <c r="D96" s="2" t="s">
        <v>245</v>
      </c>
      <c r="E96" s="9" t="s">
        <v>102</v>
      </c>
      <c r="F96" s="2" t="s">
        <v>54</v>
      </c>
      <c r="K96" s="2" t="s">
        <v>62</v>
      </c>
      <c r="L96" s="2" t="s">
        <v>65</v>
      </c>
      <c r="N96" s="4" t="s">
        <v>4</v>
      </c>
      <c r="P96" s="2" t="s">
        <v>20</v>
      </c>
      <c r="W96" s="4">
        <v>1</v>
      </c>
      <c r="X96" s="4">
        <v>0</v>
      </c>
      <c r="Y96" s="4">
        <v>0</v>
      </c>
      <c r="Z96" s="4">
        <f t="shared" si="1"/>
        <v>1</v>
      </c>
    </row>
    <row r="97" spans="1:26" ht="14.45" customHeight="1" x14ac:dyDescent="0.25">
      <c r="A97" s="2" t="s">
        <v>1042</v>
      </c>
      <c r="B97" s="6" t="s">
        <v>1043</v>
      </c>
      <c r="C97" s="3">
        <v>40277</v>
      </c>
      <c r="D97" s="2" t="s">
        <v>1044</v>
      </c>
      <c r="E97" s="9" t="s">
        <v>102</v>
      </c>
      <c r="F97" s="2" t="s">
        <v>187</v>
      </c>
      <c r="K97" s="2" t="s">
        <v>65</v>
      </c>
      <c r="L97" s="2" t="s">
        <v>62</v>
      </c>
      <c r="N97" s="4" t="s">
        <v>4</v>
      </c>
      <c r="O97" s="4" t="s">
        <v>5</v>
      </c>
      <c r="P97" s="2" t="s">
        <v>20</v>
      </c>
      <c r="W97" s="4">
        <v>0.5</v>
      </c>
      <c r="X97" s="4">
        <v>0</v>
      </c>
      <c r="Y97" s="4">
        <v>0</v>
      </c>
      <c r="Z97" s="4">
        <f t="shared" si="1"/>
        <v>0.5</v>
      </c>
    </row>
    <row r="98" spans="1:26" ht="14.45" customHeight="1" x14ac:dyDescent="0.25">
      <c r="A98" s="2" t="s">
        <v>1048</v>
      </c>
      <c r="B98" s="6" t="s">
        <v>1049</v>
      </c>
      <c r="C98" s="3">
        <v>40245</v>
      </c>
      <c r="D98" s="2" t="s">
        <v>1050</v>
      </c>
      <c r="E98" s="9" t="s">
        <v>762</v>
      </c>
      <c r="F98" s="2" t="s">
        <v>187</v>
      </c>
      <c r="K98" s="2" t="s">
        <v>68</v>
      </c>
      <c r="L98" s="2" t="s">
        <v>60</v>
      </c>
      <c r="N98" s="4" t="s">
        <v>8</v>
      </c>
      <c r="O98" s="4" t="s">
        <v>7</v>
      </c>
      <c r="P98" s="2" t="s">
        <v>14</v>
      </c>
      <c r="Q98" s="2" t="s">
        <v>25</v>
      </c>
      <c r="R98" s="2" t="s">
        <v>40</v>
      </c>
      <c r="S98" s="2" t="s">
        <v>7</v>
      </c>
      <c r="T98" s="2" t="s">
        <v>35</v>
      </c>
      <c r="W98" s="4">
        <v>0.5</v>
      </c>
      <c r="X98" s="4">
        <v>0</v>
      </c>
      <c r="Y98" s="4">
        <v>0.5</v>
      </c>
      <c r="Z98" s="4">
        <f t="shared" si="1"/>
        <v>1</v>
      </c>
    </row>
    <row r="99" spans="1:26" ht="14.45" customHeight="1" x14ac:dyDescent="0.25">
      <c r="A99" s="2" t="s">
        <v>700</v>
      </c>
      <c r="B99" s="6" t="s">
        <v>701</v>
      </c>
      <c r="C99" s="3">
        <v>40238</v>
      </c>
      <c r="D99" s="2" t="s">
        <v>702</v>
      </c>
      <c r="E99" s="9" t="s">
        <v>217</v>
      </c>
      <c r="F99" s="2" t="s">
        <v>21</v>
      </c>
      <c r="K99" s="2" t="s">
        <v>68</v>
      </c>
      <c r="N99" s="4" t="s">
        <v>5</v>
      </c>
      <c r="O99" s="4" t="s">
        <v>8</v>
      </c>
      <c r="P99" s="2" t="s">
        <v>32</v>
      </c>
      <c r="Q99" s="2" t="s">
        <v>42</v>
      </c>
      <c r="R99" s="2" t="s">
        <v>43</v>
      </c>
      <c r="S99" s="2" t="s">
        <v>19</v>
      </c>
      <c r="T99" s="2" t="s">
        <v>34</v>
      </c>
      <c r="W99" s="4">
        <v>0</v>
      </c>
      <c r="X99" s="4">
        <v>0</v>
      </c>
      <c r="Y99" s="4">
        <v>0.5</v>
      </c>
      <c r="Z99" s="4">
        <f t="shared" si="1"/>
        <v>0.5</v>
      </c>
    </row>
    <row r="100" spans="1:26" ht="14.45" customHeight="1" x14ac:dyDescent="0.25">
      <c r="A100" s="2" t="s">
        <v>246</v>
      </c>
      <c r="B100" s="6" t="s">
        <v>1199</v>
      </c>
      <c r="C100" s="3">
        <v>40228</v>
      </c>
      <c r="D100" s="2" t="s">
        <v>247</v>
      </c>
      <c r="E100" s="9" t="s">
        <v>220</v>
      </c>
      <c r="F100" s="2" t="s">
        <v>54</v>
      </c>
      <c r="K100" s="2" t="s">
        <v>72</v>
      </c>
      <c r="N100" s="4" t="s">
        <v>7</v>
      </c>
      <c r="O100" s="4" t="s">
        <v>9</v>
      </c>
      <c r="P100" s="2" t="s">
        <v>25</v>
      </c>
      <c r="Q100" s="2" t="s">
        <v>17</v>
      </c>
      <c r="R100" s="2" t="s">
        <v>31</v>
      </c>
      <c r="S100" s="2" t="s">
        <v>42</v>
      </c>
      <c r="T100" s="2" t="s">
        <v>15</v>
      </c>
      <c r="W100" s="4">
        <v>0</v>
      </c>
      <c r="X100" s="4">
        <v>0.5</v>
      </c>
      <c r="Y100" s="4">
        <v>0</v>
      </c>
      <c r="Z100" s="4">
        <f t="shared" si="1"/>
        <v>0.5</v>
      </c>
    </row>
    <row r="101" spans="1:26" ht="14.45" customHeight="1" x14ac:dyDescent="0.25">
      <c r="A101" s="2" t="s">
        <v>704</v>
      </c>
      <c r="B101" s="6" t="s">
        <v>705</v>
      </c>
      <c r="C101" s="3">
        <v>40224</v>
      </c>
      <c r="D101" s="2" t="s">
        <v>706</v>
      </c>
      <c r="E101" s="9" t="s">
        <v>703</v>
      </c>
      <c r="F101" s="2" t="s">
        <v>21</v>
      </c>
      <c r="K101" s="2" t="s">
        <v>75</v>
      </c>
      <c r="L101" s="2" t="s">
        <v>68</v>
      </c>
      <c r="M101" s="2" t="s">
        <v>72</v>
      </c>
      <c r="N101" s="4" t="s">
        <v>4</v>
      </c>
      <c r="P101" s="2" t="s">
        <v>44</v>
      </c>
      <c r="Q101" s="2" t="s">
        <v>47</v>
      </c>
      <c r="R101" s="2" t="s">
        <v>39</v>
      </c>
      <c r="S101" s="2" t="s">
        <v>20</v>
      </c>
      <c r="T101" s="2" t="s">
        <v>21</v>
      </c>
      <c r="W101" s="4">
        <v>0.5</v>
      </c>
      <c r="X101" s="4">
        <v>0.5</v>
      </c>
      <c r="Y101" s="4">
        <v>0.5</v>
      </c>
      <c r="Z101" s="4">
        <f t="shared" si="1"/>
        <v>1.5</v>
      </c>
    </row>
    <row r="102" spans="1:26" ht="14.45" customHeight="1" x14ac:dyDescent="0.25">
      <c r="A102" s="2" t="s">
        <v>1051</v>
      </c>
      <c r="B102" s="6" t="s">
        <v>1052</v>
      </c>
      <c r="C102" s="3">
        <v>40191</v>
      </c>
      <c r="D102" s="2" t="s">
        <v>1053</v>
      </c>
      <c r="E102" s="9" t="s">
        <v>206</v>
      </c>
      <c r="F102" s="2" t="s">
        <v>21</v>
      </c>
      <c r="K102" s="2" t="s">
        <v>67</v>
      </c>
      <c r="L102" s="2" t="s">
        <v>72</v>
      </c>
      <c r="N102" s="4" t="s">
        <v>5</v>
      </c>
      <c r="O102" s="4" t="s">
        <v>8</v>
      </c>
      <c r="P102" s="2" t="s">
        <v>40</v>
      </c>
      <c r="Q102" s="2" t="s">
        <v>16</v>
      </c>
      <c r="R102" s="2" t="s">
        <v>38</v>
      </c>
      <c r="S102" s="2" t="s">
        <v>47</v>
      </c>
      <c r="W102" s="4">
        <v>0</v>
      </c>
      <c r="X102" s="4">
        <v>0.5</v>
      </c>
      <c r="Y102" s="4">
        <v>0.5</v>
      </c>
      <c r="Z102" s="4">
        <f t="shared" si="1"/>
        <v>1</v>
      </c>
    </row>
    <row r="103" spans="1:26" ht="14.45" customHeight="1" x14ac:dyDescent="0.25">
      <c r="A103" s="2" t="s">
        <v>707</v>
      </c>
      <c r="B103" s="6" t="s">
        <v>708</v>
      </c>
      <c r="C103" s="3">
        <v>40191</v>
      </c>
      <c r="D103" s="2" t="s">
        <v>709</v>
      </c>
      <c r="E103" s="9" t="s">
        <v>206</v>
      </c>
      <c r="F103" s="2" t="s">
        <v>21</v>
      </c>
      <c r="K103" s="2" t="s">
        <v>67</v>
      </c>
      <c r="L103" s="2" t="s">
        <v>61</v>
      </c>
      <c r="N103" s="4" t="s">
        <v>4</v>
      </c>
      <c r="O103" s="4" t="s">
        <v>5</v>
      </c>
      <c r="P103" s="2" t="s">
        <v>40</v>
      </c>
      <c r="Q103" s="2" t="s">
        <v>38</v>
      </c>
      <c r="R103" s="2" t="s">
        <v>47</v>
      </c>
      <c r="S103" s="2" t="s">
        <v>39</v>
      </c>
      <c r="W103" s="4">
        <v>0.5</v>
      </c>
      <c r="X103" s="4">
        <v>0</v>
      </c>
      <c r="Y103" s="4">
        <v>0.5</v>
      </c>
      <c r="Z103" s="4">
        <f t="shared" si="1"/>
        <v>1</v>
      </c>
    </row>
    <row r="104" spans="1:26" ht="14.45" customHeight="1" x14ac:dyDescent="0.25">
      <c r="A104" s="2" t="s">
        <v>510</v>
      </c>
      <c r="B104" s="5" t="s">
        <v>511</v>
      </c>
      <c r="C104" s="3">
        <v>40191</v>
      </c>
      <c r="D104" s="2" t="s">
        <v>512</v>
      </c>
      <c r="E104" s="9" t="s">
        <v>206</v>
      </c>
      <c r="F104" s="2" t="s">
        <v>45</v>
      </c>
      <c r="G104" s="2" t="s">
        <v>21</v>
      </c>
      <c r="K104" s="2" t="s">
        <v>72</v>
      </c>
      <c r="L104" s="2" t="s">
        <v>71</v>
      </c>
      <c r="N104" s="4" t="s">
        <v>6</v>
      </c>
      <c r="P104" s="2" t="s">
        <v>40</v>
      </c>
      <c r="Q104" s="2" t="s">
        <v>13</v>
      </c>
      <c r="R104" s="2" t="s">
        <v>38</v>
      </c>
      <c r="S104" s="2" t="s">
        <v>22</v>
      </c>
      <c r="T104" s="2" t="s">
        <v>39</v>
      </c>
      <c r="W104" s="4">
        <v>0</v>
      </c>
      <c r="X104" s="4">
        <v>0.5</v>
      </c>
      <c r="Y104" s="4">
        <v>0</v>
      </c>
      <c r="Z104" s="4">
        <f t="shared" si="1"/>
        <v>0.5</v>
      </c>
    </row>
    <row r="105" spans="1:26" ht="14.45" customHeight="1" x14ac:dyDescent="0.25">
      <c r="A105" s="2" t="s">
        <v>710</v>
      </c>
      <c r="B105" s="6" t="s">
        <v>711</v>
      </c>
      <c r="C105" s="3">
        <v>40187</v>
      </c>
      <c r="D105" s="2" t="s">
        <v>712</v>
      </c>
      <c r="E105" s="9" t="s">
        <v>112</v>
      </c>
      <c r="F105" s="2" t="s">
        <v>21</v>
      </c>
      <c r="K105" s="2" t="s">
        <v>67</v>
      </c>
      <c r="L105" s="2" t="s">
        <v>68</v>
      </c>
      <c r="M105" s="2" t="s">
        <v>72</v>
      </c>
      <c r="N105" s="4" t="s">
        <v>4</v>
      </c>
      <c r="O105" s="4" t="s">
        <v>5</v>
      </c>
      <c r="P105" s="2" t="s">
        <v>36</v>
      </c>
      <c r="Q105" s="2" t="s">
        <v>40</v>
      </c>
      <c r="R105" s="2" t="s">
        <v>38</v>
      </c>
      <c r="W105" s="4">
        <v>0</v>
      </c>
      <c r="X105" s="4">
        <v>0.5</v>
      </c>
      <c r="Y105" s="4">
        <v>0.5</v>
      </c>
      <c r="Z105" s="4">
        <f t="shared" si="1"/>
        <v>1</v>
      </c>
    </row>
    <row r="106" spans="1:26" ht="14.45" customHeight="1" x14ac:dyDescent="0.25">
      <c r="A106" s="2" t="s">
        <v>713</v>
      </c>
      <c r="B106" s="6" t="s">
        <v>714</v>
      </c>
      <c r="C106" s="3">
        <v>40187</v>
      </c>
      <c r="D106" s="2" t="s">
        <v>715</v>
      </c>
      <c r="E106" s="9" t="s">
        <v>112</v>
      </c>
      <c r="F106" s="2" t="s">
        <v>21</v>
      </c>
      <c r="K106" s="2" t="s">
        <v>67</v>
      </c>
      <c r="L106" s="2" t="s">
        <v>72</v>
      </c>
      <c r="N106" s="4" t="s">
        <v>4</v>
      </c>
      <c r="O106" s="4" t="s">
        <v>5</v>
      </c>
      <c r="P106" s="2" t="s">
        <v>36</v>
      </c>
      <c r="Q106" s="2" t="s">
        <v>40</v>
      </c>
      <c r="R106" s="2" t="s">
        <v>39</v>
      </c>
      <c r="W106" s="4">
        <v>0</v>
      </c>
      <c r="X106" s="4">
        <v>0.5</v>
      </c>
      <c r="Y106" s="4">
        <v>0.5</v>
      </c>
      <c r="Z106" s="4">
        <f t="shared" si="1"/>
        <v>1</v>
      </c>
    </row>
    <row r="107" spans="1:26" ht="14.45" customHeight="1" x14ac:dyDescent="0.25">
      <c r="A107" s="2" t="s">
        <v>354</v>
      </c>
      <c r="B107" s="6" t="s">
        <v>355</v>
      </c>
      <c r="C107" s="3">
        <v>40187</v>
      </c>
      <c r="D107" s="2" t="s">
        <v>358</v>
      </c>
      <c r="E107" s="9" t="s">
        <v>112</v>
      </c>
      <c r="F107" s="2" t="s">
        <v>56</v>
      </c>
      <c r="K107" s="2" t="s">
        <v>69</v>
      </c>
      <c r="L107" s="2" t="s">
        <v>62</v>
      </c>
      <c r="N107" s="4" t="s">
        <v>5</v>
      </c>
      <c r="P107" s="2" t="s">
        <v>36</v>
      </c>
      <c r="Q107" s="2" t="s">
        <v>43</v>
      </c>
      <c r="R107" s="2" t="s">
        <v>19</v>
      </c>
      <c r="S107" s="2" t="s">
        <v>39</v>
      </c>
      <c r="W107" s="4">
        <v>0.5</v>
      </c>
      <c r="X107" s="4">
        <v>0</v>
      </c>
      <c r="Y107" s="4">
        <v>0.5</v>
      </c>
      <c r="Z107" s="4">
        <f t="shared" si="1"/>
        <v>1</v>
      </c>
    </row>
    <row r="108" spans="1:26" ht="14.45" customHeight="1" x14ac:dyDescent="0.25">
      <c r="A108" s="2" t="s">
        <v>513</v>
      </c>
      <c r="B108" s="5" t="s">
        <v>514</v>
      </c>
      <c r="C108" s="3">
        <v>40187</v>
      </c>
      <c r="D108" s="2" t="s">
        <v>515</v>
      </c>
      <c r="E108" s="9" t="s">
        <v>112</v>
      </c>
      <c r="F108" s="2" t="s">
        <v>45</v>
      </c>
      <c r="G108" s="2" t="s">
        <v>21</v>
      </c>
      <c r="K108" s="2" t="s">
        <v>69</v>
      </c>
      <c r="L108" s="2" t="s">
        <v>68</v>
      </c>
      <c r="M108" s="2" t="s">
        <v>67</v>
      </c>
      <c r="N108" s="4" t="s">
        <v>5</v>
      </c>
      <c r="O108" s="4" t="s">
        <v>6</v>
      </c>
      <c r="P108" s="2" t="s">
        <v>36</v>
      </c>
      <c r="Q108" s="2" t="s">
        <v>40</v>
      </c>
      <c r="R108" s="2" t="s">
        <v>43</v>
      </c>
      <c r="W108" s="4">
        <v>0</v>
      </c>
      <c r="X108" s="4">
        <v>0</v>
      </c>
      <c r="Y108" s="4">
        <v>0.5</v>
      </c>
      <c r="Z108" s="4">
        <f t="shared" si="1"/>
        <v>0.5</v>
      </c>
    </row>
    <row r="109" spans="1:26" ht="14.45" customHeight="1" x14ac:dyDescent="0.25">
      <c r="A109" s="2" t="s">
        <v>115</v>
      </c>
      <c r="B109" s="5" t="s">
        <v>116</v>
      </c>
      <c r="C109" s="3">
        <v>40187</v>
      </c>
      <c r="D109" s="2" t="s">
        <v>117</v>
      </c>
      <c r="E109" s="4" t="s">
        <v>112</v>
      </c>
      <c r="F109" s="2" t="s">
        <v>55</v>
      </c>
      <c r="G109" s="2" t="s">
        <v>54</v>
      </c>
      <c r="H109" s="2" t="s">
        <v>21</v>
      </c>
      <c r="K109" s="2" t="s">
        <v>68</v>
      </c>
      <c r="L109" s="2" t="s">
        <v>67</v>
      </c>
      <c r="N109" s="4" t="s">
        <v>4</v>
      </c>
      <c r="O109" s="4" t="s">
        <v>8</v>
      </c>
      <c r="P109" s="2" t="s">
        <v>36</v>
      </c>
      <c r="Q109" s="2" t="s">
        <v>16</v>
      </c>
      <c r="R109" s="2" t="s">
        <v>33</v>
      </c>
      <c r="S109" s="2" t="s">
        <v>38</v>
      </c>
      <c r="W109" s="4">
        <v>0</v>
      </c>
      <c r="X109" s="4">
        <v>0</v>
      </c>
      <c r="Y109" s="4">
        <v>0.5</v>
      </c>
      <c r="Z109" s="4">
        <f t="shared" si="1"/>
        <v>0.5</v>
      </c>
    </row>
    <row r="110" spans="1:26" ht="14.45" customHeight="1" x14ac:dyDescent="0.25">
      <c r="A110" s="2" t="s">
        <v>716</v>
      </c>
      <c r="B110" s="6" t="s">
        <v>717</v>
      </c>
      <c r="C110" s="3">
        <v>40187</v>
      </c>
      <c r="D110" s="2" t="s">
        <v>718</v>
      </c>
      <c r="E110" s="9" t="s">
        <v>112</v>
      </c>
      <c r="F110" s="2" t="s">
        <v>21</v>
      </c>
      <c r="K110" s="2" t="s">
        <v>68</v>
      </c>
      <c r="N110" s="4" t="s">
        <v>5</v>
      </c>
      <c r="O110" s="4" t="s">
        <v>8</v>
      </c>
      <c r="P110" s="2" t="s">
        <v>36</v>
      </c>
      <c r="Q110" s="2" t="s">
        <v>16</v>
      </c>
      <c r="R110" s="2" t="s">
        <v>33</v>
      </c>
      <c r="S110" s="2" t="s">
        <v>38</v>
      </c>
      <c r="T110" s="2" t="s">
        <v>43</v>
      </c>
      <c r="W110" s="4">
        <v>0</v>
      </c>
      <c r="X110" s="4">
        <v>0</v>
      </c>
      <c r="Y110" s="4">
        <v>0.5</v>
      </c>
      <c r="Z110" s="4">
        <f t="shared" si="1"/>
        <v>0.5</v>
      </c>
    </row>
    <row r="111" spans="1:26" ht="14.45" customHeight="1" x14ac:dyDescent="0.25">
      <c r="A111" s="2" t="s">
        <v>113</v>
      </c>
      <c r="B111" s="6" t="s">
        <v>356</v>
      </c>
      <c r="C111" s="3">
        <v>40187</v>
      </c>
      <c r="D111" s="2" t="s">
        <v>114</v>
      </c>
      <c r="E111" s="4" t="s">
        <v>112</v>
      </c>
      <c r="F111" s="2" t="s">
        <v>55</v>
      </c>
      <c r="G111" s="2" t="s">
        <v>187</v>
      </c>
      <c r="K111" s="2" t="s">
        <v>68</v>
      </c>
      <c r="N111" s="4" t="s">
        <v>4</v>
      </c>
      <c r="P111" s="2" t="s">
        <v>36</v>
      </c>
      <c r="Q111" s="2" t="s">
        <v>16</v>
      </c>
      <c r="R111" s="2" t="s">
        <v>43</v>
      </c>
      <c r="W111" s="4">
        <v>0</v>
      </c>
      <c r="X111" s="4">
        <v>0</v>
      </c>
      <c r="Y111" s="4">
        <v>0.5</v>
      </c>
      <c r="Z111" s="4">
        <f t="shared" si="1"/>
        <v>0.5</v>
      </c>
    </row>
    <row r="112" spans="1:26" ht="14.45" customHeight="1" x14ac:dyDescent="0.25">
      <c r="A112" s="2" t="s">
        <v>719</v>
      </c>
      <c r="B112" s="6" t="s">
        <v>720</v>
      </c>
      <c r="C112" s="3">
        <v>40187</v>
      </c>
      <c r="D112" s="2" t="s">
        <v>721</v>
      </c>
      <c r="E112" s="4" t="s">
        <v>112</v>
      </c>
      <c r="F112" s="2" t="s">
        <v>21</v>
      </c>
      <c r="K112" s="2" t="s">
        <v>68</v>
      </c>
      <c r="N112" s="4" t="s">
        <v>4</v>
      </c>
      <c r="O112" s="4" t="s">
        <v>5</v>
      </c>
      <c r="P112" s="2" t="s">
        <v>36</v>
      </c>
      <c r="Q112" s="2" t="s">
        <v>43</v>
      </c>
      <c r="R112" s="2" t="s">
        <v>28</v>
      </c>
      <c r="W112" s="4">
        <v>0</v>
      </c>
      <c r="X112" s="4">
        <v>0</v>
      </c>
      <c r="Y112" s="4">
        <v>0.5</v>
      </c>
      <c r="Z112" s="4">
        <f t="shared" si="1"/>
        <v>0.5</v>
      </c>
    </row>
    <row r="113" spans="1:26" ht="14.45" customHeight="1" x14ac:dyDescent="0.25">
      <c r="A113" s="2" t="s">
        <v>365</v>
      </c>
      <c r="B113" s="15" t="s">
        <v>366</v>
      </c>
      <c r="C113" s="3">
        <v>40184</v>
      </c>
      <c r="D113" s="2" t="s">
        <v>367</v>
      </c>
      <c r="E113" s="4" t="s">
        <v>361</v>
      </c>
      <c r="F113" s="2" t="s">
        <v>56</v>
      </c>
      <c r="G113" s="2" t="s">
        <v>187</v>
      </c>
      <c r="K113" s="2" t="s">
        <v>69</v>
      </c>
      <c r="L113" s="2" t="s">
        <v>73</v>
      </c>
      <c r="M113" s="2" t="s">
        <v>72</v>
      </c>
      <c r="N113" s="4" t="s">
        <v>5</v>
      </c>
      <c r="P113" s="2" t="s">
        <v>47</v>
      </c>
      <c r="Q113" s="2" t="s">
        <v>22</v>
      </c>
      <c r="R113" s="2" t="s">
        <v>18</v>
      </c>
      <c r="S113" s="2" t="s">
        <v>39</v>
      </c>
      <c r="W113" s="4">
        <v>0</v>
      </c>
      <c r="X113" s="4">
        <v>0.5</v>
      </c>
      <c r="Y113" s="4">
        <v>1</v>
      </c>
      <c r="Z113" s="4">
        <f t="shared" si="1"/>
        <v>1.5</v>
      </c>
    </row>
    <row r="114" spans="1:26" ht="14.45" customHeight="1" x14ac:dyDescent="0.25">
      <c r="A114" s="2" t="s">
        <v>371</v>
      </c>
      <c r="B114" s="15" t="s">
        <v>372</v>
      </c>
      <c r="C114" s="3">
        <v>40184</v>
      </c>
      <c r="D114" s="2" t="s">
        <v>373</v>
      </c>
      <c r="E114" s="4" t="s">
        <v>361</v>
      </c>
      <c r="F114" s="2" t="s">
        <v>56</v>
      </c>
      <c r="G114" s="2" t="s">
        <v>187</v>
      </c>
      <c r="K114" s="2" t="s">
        <v>69</v>
      </c>
      <c r="L114" s="2" t="s">
        <v>73</v>
      </c>
      <c r="M114" s="2" t="s">
        <v>72</v>
      </c>
      <c r="N114" s="4" t="s">
        <v>5</v>
      </c>
      <c r="P114" s="2" t="s">
        <v>25</v>
      </c>
      <c r="Q114" s="2" t="s">
        <v>23</v>
      </c>
      <c r="R114" s="2" t="s">
        <v>22</v>
      </c>
      <c r="S114" s="2" t="s">
        <v>18</v>
      </c>
      <c r="T114" s="2" t="s">
        <v>39</v>
      </c>
      <c r="W114" s="4">
        <v>0</v>
      </c>
      <c r="X114" s="4">
        <v>0.5</v>
      </c>
      <c r="Y114" s="4">
        <v>1</v>
      </c>
      <c r="Z114" s="4">
        <f t="shared" si="1"/>
        <v>1.5</v>
      </c>
    </row>
    <row r="115" spans="1:26" ht="14.45" customHeight="1" x14ac:dyDescent="0.25">
      <c r="A115" s="2" t="s">
        <v>362</v>
      </c>
      <c r="B115" s="15" t="s">
        <v>363</v>
      </c>
      <c r="C115" s="3">
        <v>40184</v>
      </c>
      <c r="D115" s="2" t="s">
        <v>364</v>
      </c>
      <c r="E115" s="4" t="s">
        <v>361</v>
      </c>
      <c r="F115" s="2" t="s">
        <v>56</v>
      </c>
      <c r="K115" s="2" t="s">
        <v>73</v>
      </c>
      <c r="L115" s="2" t="s">
        <v>72</v>
      </c>
      <c r="N115" s="4" t="s">
        <v>5</v>
      </c>
      <c r="P115" s="2" t="s">
        <v>33</v>
      </c>
      <c r="Q115" s="2" t="s">
        <v>47</v>
      </c>
      <c r="R115" s="2" t="s">
        <v>22</v>
      </c>
      <c r="S115" s="2" t="s">
        <v>18</v>
      </c>
      <c r="T115" s="2" t="s">
        <v>39</v>
      </c>
      <c r="W115" s="4">
        <v>0</v>
      </c>
      <c r="X115" s="4">
        <v>1</v>
      </c>
      <c r="Y115" s="4">
        <v>0.5</v>
      </c>
      <c r="Z115" s="4">
        <f t="shared" si="1"/>
        <v>1.5</v>
      </c>
    </row>
    <row r="116" spans="1:26" ht="14.45" customHeight="1" x14ac:dyDescent="0.25">
      <c r="A116" s="2" t="s">
        <v>369</v>
      </c>
      <c r="B116" s="15" t="s">
        <v>368</v>
      </c>
      <c r="C116" s="3">
        <v>40184</v>
      </c>
      <c r="D116" s="2" t="s">
        <v>370</v>
      </c>
      <c r="E116" s="4" t="s">
        <v>361</v>
      </c>
      <c r="F116" s="2" t="s">
        <v>56</v>
      </c>
      <c r="K116" s="2" t="s">
        <v>73</v>
      </c>
      <c r="L116" s="2" t="s">
        <v>72</v>
      </c>
      <c r="N116" s="4" t="s">
        <v>5</v>
      </c>
      <c r="P116" s="2" t="s">
        <v>25</v>
      </c>
      <c r="Q116" s="2" t="s">
        <v>33</v>
      </c>
      <c r="R116" s="2" t="s">
        <v>22</v>
      </c>
      <c r="S116" s="2" t="s">
        <v>18</v>
      </c>
      <c r="T116" s="2" t="s">
        <v>39</v>
      </c>
      <c r="W116" s="4">
        <v>0</v>
      </c>
      <c r="X116" s="4">
        <v>0.5</v>
      </c>
      <c r="Y116" s="4">
        <v>0.5</v>
      </c>
      <c r="Z116" s="4">
        <f t="shared" si="1"/>
        <v>1</v>
      </c>
    </row>
    <row r="117" spans="1:26" ht="14.45" customHeight="1" x14ac:dyDescent="0.25">
      <c r="A117" s="2" t="s">
        <v>722</v>
      </c>
      <c r="B117" s="6" t="s">
        <v>723</v>
      </c>
      <c r="C117" s="3">
        <v>40184</v>
      </c>
      <c r="D117" s="2" t="s">
        <v>724</v>
      </c>
      <c r="E117" s="4" t="s">
        <v>361</v>
      </c>
      <c r="F117" s="2" t="s">
        <v>21</v>
      </c>
      <c r="K117" s="2" t="s">
        <v>72</v>
      </c>
      <c r="L117" s="2" t="s">
        <v>73</v>
      </c>
      <c r="N117" s="4" t="s">
        <v>4</v>
      </c>
      <c r="O117" s="4" t="s">
        <v>5</v>
      </c>
      <c r="P117" s="2" t="s">
        <v>33</v>
      </c>
      <c r="Q117" s="2" t="s">
        <v>47</v>
      </c>
      <c r="R117" s="2" t="s">
        <v>22</v>
      </c>
      <c r="S117" s="2" t="s">
        <v>18</v>
      </c>
      <c r="T117" s="2" t="s">
        <v>39</v>
      </c>
      <c r="W117" s="4">
        <v>0</v>
      </c>
      <c r="X117" s="4">
        <v>0.5</v>
      </c>
      <c r="Y117" s="4">
        <v>0.5</v>
      </c>
      <c r="Z117" s="4">
        <f t="shared" si="1"/>
        <v>1</v>
      </c>
    </row>
    <row r="118" spans="1:26" ht="14.45" customHeight="1" x14ac:dyDescent="0.25">
      <c r="A118" s="2" t="s">
        <v>249</v>
      </c>
      <c r="B118" s="6" t="s">
        <v>357</v>
      </c>
      <c r="C118" s="3">
        <v>40183</v>
      </c>
      <c r="D118" s="2" t="s">
        <v>250</v>
      </c>
      <c r="E118" s="4" t="s">
        <v>248</v>
      </c>
      <c r="F118" s="2" t="s">
        <v>54</v>
      </c>
      <c r="G118" s="2" t="s">
        <v>45</v>
      </c>
      <c r="N118" s="4" t="s">
        <v>9</v>
      </c>
      <c r="P118" s="2" t="s">
        <v>7</v>
      </c>
      <c r="Q118" s="2" t="s">
        <v>15</v>
      </c>
      <c r="W118" s="4">
        <v>0</v>
      </c>
      <c r="X118" s="4">
        <v>0</v>
      </c>
      <c r="Y118" s="4">
        <v>0</v>
      </c>
      <c r="Z118" s="4">
        <f t="shared" si="1"/>
        <v>0</v>
      </c>
    </row>
    <row r="119" spans="1:26" ht="14.45" customHeight="1" x14ac:dyDescent="0.25">
      <c r="A119" s="2" t="s">
        <v>374</v>
      </c>
      <c r="B119" s="15" t="s">
        <v>375</v>
      </c>
      <c r="C119" s="3">
        <v>40142</v>
      </c>
      <c r="D119" s="2" t="s">
        <v>376</v>
      </c>
      <c r="E119" s="4" t="s">
        <v>377</v>
      </c>
      <c r="F119" s="2" t="s">
        <v>56</v>
      </c>
      <c r="K119" s="2" t="s">
        <v>69</v>
      </c>
      <c r="N119" s="4" t="s">
        <v>5</v>
      </c>
      <c r="P119" s="2" t="s">
        <v>25</v>
      </c>
      <c r="Q119" s="2" t="s">
        <v>40</v>
      </c>
      <c r="R119" s="2" t="s">
        <v>38</v>
      </c>
      <c r="S119" s="2" t="s">
        <v>45</v>
      </c>
      <c r="W119" s="4">
        <v>0</v>
      </c>
      <c r="X119" s="4">
        <v>0</v>
      </c>
      <c r="Y119" s="4">
        <v>0.5</v>
      </c>
      <c r="Z119" s="4">
        <f t="shared" si="1"/>
        <v>0.5</v>
      </c>
    </row>
    <row r="120" spans="1:26" ht="14.45" customHeight="1" x14ac:dyDescent="0.25">
      <c r="A120" s="2" t="s">
        <v>725</v>
      </c>
      <c r="B120" s="15" t="s">
        <v>726</v>
      </c>
      <c r="C120" s="3">
        <v>40000</v>
      </c>
      <c r="D120" s="2" t="s">
        <v>727</v>
      </c>
      <c r="E120" s="4" t="s">
        <v>422</v>
      </c>
      <c r="F120" s="2" t="s">
        <v>21</v>
      </c>
      <c r="G120" s="2" t="s">
        <v>1032</v>
      </c>
      <c r="K120" s="2" t="s">
        <v>72</v>
      </c>
      <c r="N120" s="4" t="s">
        <v>5</v>
      </c>
      <c r="O120" s="4" t="s">
        <v>8</v>
      </c>
      <c r="P120" s="2" t="s">
        <v>25</v>
      </c>
      <c r="Q120" s="2" t="s">
        <v>30</v>
      </c>
      <c r="R120" s="2" t="s">
        <v>16</v>
      </c>
      <c r="S120" s="2" t="s">
        <v>23</v>
      </c>
      <c r="T120" s="2" t="s">
        <v>38</v>
      </c>
      <c r="U120" s="2" t="s">
        <v>46</v>
      </c>
      <c r="V120" s="2" t="s">
        <v>18</v>
      </c>
      <c r="W120" s="4">
        <v>0</v>
      </c>
      <c r="X120" s="4">
        <v>0.5</v>
      </c>
      <c r="Y120" s="4">
        <v>0</v>
      </c>
      <c r="Z120" s="4">
        <f t="shared" si="1"/>
        <v>0.5</v>
      </c>
    </row>
    <row r="121" spans="1:26" ht="14.45" customHeight="1" x14ac:dyDescent="0.25">
      <c r="A121" s="2" t="s">
        <v>1054</v>
      </c>
      <c r="B121" s="15" t="s">
        <v>1055</v>
      </c>
      <c r="C121" s="3">
        <v>39966</v>
      </c>
      <c r="D121" s="2" t="s">
        <v>1056</v>
      </c>
      <c r="E121" s="4" t="s">
        <v>177</v>
      </c>
      <c r="F121" s="2" t="s">
        <v>187</v>
      </c>
      <c r="N121" s="4" t="s">
        <v>7</v>
      </c>
      <c r="O121" s="4" t="s">
        <v>9</v>
      </c>
      <c r="P121" s="2" t="s">
        <v>25</v>
      </c>
      <c r="Q121" s="2" t="s">
        <v>7</v>
      </c>
      <c r="R121" s="2" t="s">
        <v>17</v>
      </c>
      <c r="S121" s="2" t="s">
        <v>31</v>
      </c>
      <c r="T121" s="2" t="s">
        <v>35</v>
      </c>
      <c r="W121" s="4">
        <v>0</v>
      </c>
      <c r="X121" s="4">
        <v>0</v>
      </c>
      <c r="Y121" s="4">
        <v>0</v>
      </c>
      <c r="Z121" s="4">
        <f t="shared" si="1"/>
        <v>0</v>
      </c>
    </row>
    <row r="122" spans="1:26" ht="14.45" customHeight="1" x14ac:dyDescent="0.25">
      <c r="A122" s="2" t="s">
        <v>1057</v>
      </c>
      <c r="B122" s="15" t="s">
        <v>1058</v>
      </c>
      <c r="C122" s="3">
        <v>39966</v>
      </c>
      <c r="D122" s="2" t="s">
        <v>1059</v>
      </c>
      <c r="E122" s="4" t="s">
        <v>177</v>
      </c>
      <c r="F122" s="2" t="s">
        <v>187</v>
      </c>
      <c r="N122" s="4" t="s">
        <v>7</v>
      </c>
      <c r="O122" s="4" t="s">
        <v>9</v>
      </c>
      <c r="P122" s="2" t="s">
        <v>25</v>
      </c>
      <c r="Q122" s="2" t="s">
        <v>17</v>
      </c>
      <c r="R122" s="2" t="s">
        <v>35</v>
      </c>
      <c r="S122" s="2" t="s">
        <v>24</v>
      </c>
      <c r="W122" s="4">
        <v>0</v>
      </c>
      <c r="X122" s="4">
        <v>0</v>
      </c>
      <c r="Y122" s="4">
        <v>0</v>
      </c>
      <c r="Z122" s="4">
        <f t="shared" si="1"/>
        <v>0</v>
      </c>
    </row>
    <row r="123" spans="1:26" ht="14.45" customHeight="1" x14ac:dyDescent="0.25">
      <c r="A123" s="2" t="s">
        <v>251</v>
      </c>
      <c r="B123" s="6" t="s">
        <v>359</v>
      </c>
      <c r="C123" s="3">
        <v>39937</v>
      </c>
      <c r="D123" s="2" t="s">
        <v>252</v>
      </c>
      <c r="E123" s="4" t="s">
        <v>118</v>
      </c>
      <c r="F123" s="2" t="s">
        <v>54</v>
      </c>
      <c r="G123" s="2" t="s">
        <v>21</v>
      </c>
      <c r="K123" s="2" t="s">
        <v>68</v>
      </c>
      <c r="L123" s="2" t="s">
        <v>75</v>
      </c>
      <c r="M123" s="2" t="s">
        <v>72</v>
      </c>
      <c r="N123" s="4" t="s">
        <v>8</v>
      </c>
      <c r="P123" s="2" t="s">
        <v>25</v>
      </c>
      <c r="Q123" s="2" t="s">
        <v>29</v>
      </c>
      <c r="R123" s="2" t="s">
        <v>33</v>
      </c>
      <c r="S123" s="2" t="s">
        <v>22</v>
      </c>
      <c r="W123" s="4">
        <v>0.5</v>
      </c>
      <c r="X123" s="4">
        <v>0.5</v>
      </c>
      <c r="Y123" s="4">
        <v>0.5</v>
      </c>
      <c r="Z123" s="4">
        <f t="shared" si="1"/>
        <v>1.5</v>
      </c>
    </row>
    <row r="124" spans="1:26" ht="14.45" customHeight="1" x14ac:dyDescent="0.25">
      <c r="A124" s="2" t="s">
        <v>119</v>
      </c>
      <c r="B124" s="5" t="s">
        <v>120</v>
      </c>
      <c r="C124" s="3">
        <v>39937</v>
      </c>
      <c r="D124" s="2" t="s">
        <v>121</v>
      </c>
      <c r="E124" s="4" t="s">
        <v>118</v>
      </c>
      <c r="F124" s="2" t="s">
        <v>55</v>
      </c>
      <c r="G124" s="2" t="s">
        <v>45</v>
      </c>
      <c r="H124" s="2" t="s">
        <v>187</v>
      </c>
      <c r="K124" s="2" t="s">
        <v>62</v>
      </c>
      <c r="L124" s="2" t="s">
        <v>68</v>
      </c>
      <c r="N124" s="4" t="s">
        <v>9</v>
      </c>
      <c r="P124" s="2" t="s">
        <v>25</v>
      </c>
      <c r="Q124" s="2" t="s">
        <v>29</v>
      </c>
      <c r="R124" s="2" t="s">
        <v>33</v>
      </c>
      <c r="S124" s="2" t="s">
        <v>38</v>
      </c>
      <c r="T124" s="2" t="s">
        <v>42</v>
      </c>
      <c r="U124" s="2" t="s">
        <v>22</v>
      </c>
      <c r="W124" s="4">
        <v>0.5</v>
      </c>
      <c r="X124" s="4">
        <v>0.5</v>
      </c>
      <c r="Y124" s="4">
        <v>0.5</v>
      </c>
      <c r="Z124" s="4">
        <f t="shared" si="1"/>
        <v>1.5</v>
      </c>
    </row>
    <row r="125" spans="1:26" ht="14.45" customHeight="1" x14ac:dyDescent="0.25">
      <c r="A125" s="2" t="s">
        <v>516</v>
      </c>
      <c r="B125" s="6" t="s">
        <v>517</v>
      </c>
      <c r="C125" s="3">
        <v>39937</v>
      </c>
      <c r="D125" s="2" t="s">
        <v>518</v>
      </c>
      <c r="E125" s="4" t="s">
        <v>118</v>
      </c>
      <c r="F125" s="2" t="s">
        <v>45</v>
      </c>
      <c r="G125" s="2" t="s">
        <v>21</v>
      </c>
      <c r="H125" s="2" t="s">
        <v>187</v>
      </c>
      <c r="K125" s="2" t="s">
        <v>72</v>
      </c>
      <c r="L125" s="2" t="s">
        <v>68</v>
      </c>
      <c r="N125" s="4" t="s">
        <v>9</v>
      </c>
      <c r="P125" s="2" t="s">
        <v>25</v>
      </c>
      <c r="Q125" s="2" t="s">
        <v>29</v>
      </c>
      <c r="R125" s="2" t="s">
        <v>33</v>
      </c>
      <c r="S125" s="2" t="s">
        <v>19</v>
      </c>
      <c r="T125" s="2" t="s">
        <v>22</v>
      </c>
      <c r="W125" s="4">
        <v>0</v>
      </c>
      <c r="X125" s="4">
        <v>0.5</v>
      </c>
      <c r="Y125" s="4">
        <v>0.5</v>
      </c>
      <c r="Z125" s="4">
        <f t="shared" si="1"/>
        <v>1</v>
      </c>
    </row>
    <row r="126" spans="1:26" ht="14.45" customHeight="1" x14ac:dyDescent="0.25">
      <c r="A126" s="2" t="s">
        <v>729</v>
      </c>
      <c r="B126" s="6" t="s">
        <v>730</v>
      </c>
      <c r="C126" s="3">
        <v>39919</v>
      </c>
      <c r="D126" s="2" t="s">
        <v>732</v>
      </c>
      <c r="E126" s="4" t="s">
        <v>728</v>
      </c>
      <c r="F126" s="2" t="s">
        <v>21</v>
      </c>
      <c r="N126" s="4" t="s">
        <v>7</v>
      </c>
      <c r="O126" s="4" t="s">
        <v>9</v>
      </c>
      <c r="P126" s="2" t="s">
        <v>25</v>
      </c>
      <c r="Q126" s="2" t="s">
        <v>17</v>
      </c>
      <c r="R126" s="2" t="s">
        <v>15</v>
      </c>
      <c r="W126" s="4">
        <v>0</v>
      </c>
      <c r="X126" s="4">
        <v>0</v>
      </c>
      <c r="Y126" s="4">
        <v>0</v>
      </c>
      <c r="Z126" s="4">
        <f t="shared" si="1"/>
        <v>0</v>
      </c>
    </row>
    <row r="127" spans="1:26" ht="14.45" customHeight="1" x14ac:dyDescent="0.25">
      <c r="A127" s="2" t="s">
        <v>254</v>
      </c>
      <c r="B127" s="6" t="s">
        <v>731</v>
      </c>
      <c r="C127" s="3">
        <v>39917</v>
      </c>
      <c r="D127" s="2" t="s">
        <v>255</v>
      </c>
      <c r="E127" s="9" t="s">
        <v>253</v>
      </c>
      <c r="F127" s="2" t="s">
        <v>54</v>
      </c>
      <c r="G127" s="2" t="s">
        <v>187</v>
      </c>
      <c r="K127" s="2" t="s">
        <v>72</v>
      </c>
      <c r="L127" s="2" t="s">
        <v>74</v>
      </c>
      <c r="M127" s="2" t="s">
        <v>71</v>
      </c>
      <c r="N127" s="4" t="s">
        <v>5</v>
      </c>
      <c r="P127" s="2" t="s">
        <v>25</v>
      </c>
      <c r="Q127" s="2" t="s">
        <v>13</v>
      </c>
      <c r="R127" s="2" t="s">
        <v>38</v>
      </c>
      <c r="S127" s="2" t="s">
        <v>42</v>
      </c>
      <c r="T127" s="2" t="s">
        <v>18</v>
      </c>
      <c r="W127" s="4">
        <v>0</v>
      </c>
      <c r="X127" s="4">
        <v>1</v>
      </c>
      <c r="Y127" s="4">
        <v>0</v>
      </c>
      <c r="Z127" s="4">
        <f t="shared" si="1"/>
        <v>1</v>
      </c>
    </row>
    <row r="128" spans="1:26" ht="14.45" customHeight="1" x14ac:dyDescent="0.25">
      <c r="A128" s="2" t="s">
        <v>1060</v>
      </c>
      <c r="B128" s="6" t="s">
        <v>1061</v>
      </c>
      <c r="C128" s="3">
        <v>39916</v>
      </c>
      <c r="D128" s="2" t="s">
        <v>1062</v>
      </c>
      <c r="E128" s="9" t="s">
        <v>137</v>
      </c>
      <c r="F128" s="2" t="s">
        <v>187</v>
      </c>
      <c r="K128" s="2" t="s">
        <v>72</v>
      </c>
      <c r="L128" s="2" t="s">
        <v>74</v>
      </c>
      <c r="N128" s="4" t="s">
        <v>8</v>
      </c>
      <c r="P128" s="2" t="s">
        <v>14</v>
      </c>
      <c r="Q128" s="2" t="s">
        <v>18</v>
      </c>
      <c r="W128" s="4">
        <v>0</v>
      </c>
      <c r="X128" s="4">
        <v>0.5</v>
      </c>
      <c r="Y128" s="4">
        <v>0</v>
      </c>
      <c r="Z128" s="4">
        <f t="shared" si="1"/>
        <v>0.5</v>
      </c>
    </row>
    <row r="129" spans="1:26" ht="14.45" customHeight="1" x14ac:dyDescent="0.25">
      <c r="A129" s="2" t="s">
        <v>733</v>
      </c>
      <c r="B129" s="6" t="s">
        <v>734</v>
      </c>
      <c r="C129" s="3">
        <v>39916</v>
      </c>
      <c r="D129" s="2" t="s">
        <v>735</v>
      </c>
      <c r="E129" s="9" t="s">
        <v>137</v>
      </c>
      <c r="F129" s="2" t="s">
        <v>21</v>
      </c>
      <c r="K129" s="2" t="s">
        <v>68</v>
      </c>
      <c r="N129" s="4" t="s">
        <v>8</v>
      </c>
      <c r="P129" s="2" t="s">
        <v>14</v>
      </c>
      <c r="Q129" s="2" t="s">
        <v>25</v>
      </c>
      <c r="R129" s="2" t="s">
        <v>17</v>
      </c>
      <c r="S129" s="2" t="s">
        <v>43</v>
      </c>
      <c r="T129" s="2" t="s">
        <v>46</v>
      </c>
      <c r="W129" s="4">
        <v>0</v>
      </c>
      <c r="X129" s="4">
        <v>0</v>
      </c>
      <c r="Y129" s="4">
        <v>0.5</v>
      </c>
      <c r="Z129" s="4">
        <f t="shared" si="1"/>
        <v>0.5</v>
      </c>
    </row>
    <row r="130" spans="1:26" ht="14.45" customHeight="1" x14ac:dyDescent="0.25">
      <c r="A130" s="2" t="s">
        <v>519</v>
      </c>
      <c r="B130" s="6" t="s">
        <v>520</v>
      </c>
      <c r="C130" s="3">
        <v>39915</v>
      </c>
      <c r="D130" s="2" t="s">
        <v>521</v>
      </c>
      <c r="E130" s="9" t="s">
        <v>172</v>
      </c>
      <c r="F130" s="2" t="s">
        <v>45</v>
      </c>
      <c r="K130" s="2" t="s">
        <v>68</v>
      </c>
      <c r="L130" s="2" t="s">
        <v>72</v>
      </c>
      <c r="N130" s="4" t="s">
        <v>7</v>
      </c>
      <c r="O130" s="4" t="s">
        <v>9</v>
      </c>
      <c r="P130" s="2" t="s">
        <v>25</v>
      </c>
      <c r="Q130" s="2" t="s">
        <v>17</v>
      </c>
      <c r="R130" s="2" t="s">
        <v>31</v>
      </c>
      <c r="S130" s="2" t="s">
        <v>35</v>
      </c>
      <c r="T130" s="2" t="s">
        <v>15</v>
      </c>
      <c r="W130" s="4">
        <v>0</v>
      </c>
      <c r="X130" s="4">
        <v>0.5</v>
      </c>
      <c r="Y130" s="4">
        <v>0.5</v>
      </c>
      <c r="Z130" s="4">
        <f t="shared" si="1"/>
        <v>1</v>
      </c>
    </row>
    <row r="131" spans="1:26" ht="14.45" customHeight="1" x14ac:dyDescent="0.25">
      <c r="A131" s="2" t="s">
        <v>737</v>
      </c>
      <c r="B131" s="6" t="s">
        <v>738</v>
      </c>
      <c r="C131" s="3">
        <v>39915</v>
      </c>
      <c r="D131" s="2" t="s">
        <v>736</v>
      </c>
      <c r="E131" s="9" t="s">
        <v>172</v>
      </c>
      <c r="F131" s="2" t="s">
        <v>21</v>
      </c>
      <c r="N131" s="4" t="s">
        <v>7</v>
      </c>
      <c r="O131" s="4" t="s">
        <v>9</v>
      </c>
      <c r="P131" s="2" t="s">
        <v>25</v>
      </c>
      <c r="Q131" s="2" t="s">
        <v>7</v>
      </c>
      <c r="R131" s="2" t="s">
        <v>17</v>
      </c>
      <c r="S131" s="2" t="s">
        <v>42</v>
      </c>
      <c r="T131" s="2" t="s">
        <v>15</v>
      </c>
      <c r="W131" s="4">
        <v>0</v>
      </c>
      <c r="X131" s="4">
        <v>0</v>
      </c>
      <c r="Y131" s="4">
        <v>0</v>
      </c>
      <c r="Z131" s="4">
        <f t="shared" si="1"/>
        <v>0</v>
      </c>
    </row>
    <row r="132" spans="1:26" ht="14.45" customHeight="1" x14ac:dyDescent="0.25">
      <c r="A132" s="2" t="s">
        <v>124</v>
      </c>
      <c r="B132" s="5" t="s">
        <v>123</v>
      </c>
      <c r="C132" s="3">
        <v>39875</v>
      </c>
      <c r="D132" s="2" t="s">
        <v>125</v>
      </c>
      <c r="E132" s="4" t="s">
        <v>122</v>
      </c>
      <c r="F132" s="2" t="s">
        <v>55</v>
      </c>
      <c r="G132" s="2" t="s">
        <v>54</v>
      </c>
      <c r="N132" s="4" t="s">
        <v>7</v>
      </c>
      <c r="O132" s="4" t="s">
        <v>9</v>
      </c>
      <c r="P132" s="2" t="s">
        <v>25</v>
      </c>
      <c r="Q132" s="2" t="s">
        <v>7</v>
      </c>
      <c r="R132" s="2" t="s">
        <v>31</v>
      </c>
      <c r="S132" s="2" t="s">
        <v>35</v>
      </c>
      <c r="T132" s="2" t="s">
        <v>24</v>
      </c>
      <c r="W132" s="4">
        <v>0</v>
      </c>
      <c r="X132" s="4">
        <v>0</v>
      </c>
      <c r="Y132" s="4">
        <v>0</v>
      </c>
      <c r="Z132" s="4">
        <f t="shared" si="1"/>
        <v>0</v>
      </c>
    </row>
    <row r="133" spans="1:26" ht="14.45" customHeight="1" x14ac:dyDescent="0.25">
      <c r="A133" s="2" t="s">
        <v>739</v>
      </c>
      <c r="B133" s="15" t="s">
        <v>740</v>
      </c>
      <c r="C133" s="3">
        <v>39871</v>
      </c>
      <c r="D133" s="2" t="s">
        <v>741</v>
      </c>
      <c r="E133" s="4" t="s">
        <v>487</v>
      </c>
      <c r="F133" s="2" t="s">
        <v>21</v>
      </c>
      <c r="K133" s="2" t="s">
        <v>72</v>
      </c>
      <c r="N133" s="4" t="s">
        <v>5</v>
      </c>
      <c r="O133" s="4" t="s">
        <v>4</v>
      </c>
      <c r="P133" s="2" t="s">
        <v>25</v>
      </c>
      <c r="Q133" s="2" t="s">
        <v>40</v>
      </c>
      <c r="R133" s="2" t="s">
        <v>13</v>
      </c>
      <c r="S133" s="2" t="s">
        <v>38</v>
      </c>
      <c r="W133" s="4">
        <v>0</v>
      </c>
      <c r="X133" s="4">
        <v>0.5</v>
      </c>
      <c r="Y133" s="4">
        <v>0</v>
      </c>
      <c r="Z133" s="4">
        <f t="shared" ref="Z133:Z196" si="2">SUM(W133:Y133)</f>
        <v>0.5</v>
      </c>
    </row>
    <row r="134" spans="1:26" ht="14.45" customHeight="1" x14ac:dyDescent="0.25">
      <c r="A134" s="2" t="s">
        <v>743</v>
      </c>
      <c r="B134" s="15" t="s">
        <v>744</v>
      </c>
      <c r="C134" s="3">
        <v>39856</v>
      </c>
      <c r="D134" s="2" t="s">
        <v>745</v>
      </c>
      <c r="E134" s="4" t="s">
        <v>742</v>
      </c>
      <c r="F134" s="2" t="s">
        <v>21</v>
      </c>
      <c r="N134" s="4" t="s">
        <v>7</v>
      </c>
      <c r="O134" s="4" t="s">
        <v>9</v>
      </c>
      <c r="P134" s="2" t="s">
        <v>25</v>
      </c>
      <c r="Q134" s="2" t="s">
        <v>17</v>
      </c>
      <c r="R134" s="2" t="s">
        <v>31</v>
      </c>
      <c r="S134" s="2" t="s">
        <v>35</v>
      </c>
      <c r="T134" s="2" t="s">
        <v>42</v>
      </c>
      <c r="W134" s="4">
        <v>0</v>
      </c>
      <c r="X134" s="4">
        <v>0</v>
      </c>
      <c r="Y134" s="4">
        <v>0</v>
      </c>
      <c r="Z134" s="4">
        <f t="shared" si="2"/>
        <v>0</v>
      </c>
    </row>
    <row r="135" spans="1:26" ht="14.45" customHeight="1" x14ac:dyDescent="0.25">
      <c r="A135" s="2" t="s">
        <v>257</v>
      </c>
      <c r="B135" s="6" t="s">
        <v>296</v>
      </c>
      <c r="C135" s="3">
        <v>39847</v>
      </c>
      <c r="D135" s="2" t="s">
        <v>258</v>
      </c>
      <c r="E135" s="4" t="s">
        <v>256</v>
      </c>
      <c r="F135" s="2" t="s">
        <v>54</v>
      </c>
      <c r="K135" s="2" t="s">
        <v>67</v>
      </c>
      <c r="N135" s="4" t="s">
        <v>4</v>
      </c>
      <c r="O135" s="4" t="s">
        <v>5</v>
      </c>
      <c r="P135" s="2" t="s">
        <v>40</v>
      </c>
      <c r="Q135" s="2" t="s">
        <v>16</v>
      </c>
      <c r="R135" s="2" t="s">
        <v>33</v>
      </c>
      <c r="S135" s="2" t="s">
        <v>38</v>
      </c>
      <c r="T135" s="2" t="s">
        <v>42</v>
      </c>
      <c r="U135" s="2" t="s">
        <v>46</v>
      </c>
      <c r="V135" s="2" t="s">
        <v>22</v>
      </c>
      <c r="W135" s="4">
        <v>0</v>
      </c>
      <c r="X135" s="4">
        <v>0.5</v>
      </c>
      <c r="Y135" s="4">
        <v>0.5</v>
      </c>
      <c r="Z135" s="4">
        <f t="shared" si="2"/>
        <v>1</v>
      </c>
    </row>
    <row r="136" spans="1:26" ht="14.45" customHeight="1" x14ac:dyDescent="0.25">
      <c r="A136" s="2" t="s">
        <v>1063</v>
      </c>
      <c r="B136" s="6" t="s">
        <v>1064</v>
      </c>
      <c r="C136" s="3">
        <v>39841</v>
      </c>
      <c r="D136" s="2" t="s">
        <v>1065</v>
      </c>
      <c r="E136" s="4" t="s">
        <v>728</v>
      </c>
      <c r="F136" s="2" t="s">
        <v>187</v>
      </c>
      <c r="N136" s="4" t="s">
        <v>7</v>
      </c>
      <c r="O136" s="4" t="s">
        <v>9</v>
      </c>
      <c r="P136" s="2" t="s">
        <v>25</v>
      </c>
      <c r="Q136" s="2" t="s">
        <v>17</v>
      </c>
      <c r="R136" s="2" t="s">
        <v>15</v>
      </c>
      <c r="W136" s="4">
        <v>0</v>
      </c>
      <c r="X136" s="4">
        <v>0</v>
      </c>
      <c r="Y136" s="4">
        <v>0</v>
      </c>
      <c r="Z136" s="4">
        <f t="shared" si="2"/>
        <v>0</v>
      </c>
    </row>
    <row r="137" spans="1:26" ht="14.45" customHeight="1" x14ac:dyDescent="0.25">
      <c r="A137" s="2" t="s">
        <v>127</v>
      </c>
      <c r="B137" s="5" t="s">
        <v>128</v>
      </c>
      <c r="C137" s="3">
        <v>39836</v>
      </c>
      <c r="D137" s="4" t="s">
        <v>129</v>
      </c>
      <c r="E137" s="4" t="s">
        <v>126</v>
      </c>
      <c r="F137" s="2" t="s">
        <v>55</v>
      </c>
      <c r="K137" s="2" t="s">
        <v>66</v>
      </c>
      <c r="N137" s="4" t="s">
        <v>7</v>
      </c>
      <c r="O137" s="4" t="s">
        <v>9</v>
      </c>
      <c r="P137" s="2" t="s">
        <v>25</v>
      </c>
      <c r="Q137" s="2" t="s">
        <v>7</v>
      </c>
      <c r="R137" s="2" t="s">
        <v>35</v>
      </c>
      <c r="S137" s="2" t="s">
        <v>42</v>
      </c>
      <c r="W137" s="4">
        <v>0</v>
      </c>
      <c r="X137" s="4">
        <v>0</v>
      </c>
      <c r="Y137" s="4">
        <v>0.5</v>
      </c>
      <c r="Z137" s="4">
        <f t="shared" si="2"/>
        <v>0.5</v>
      </c>
    </row>
    <row r="138" spans="1:26" ht="14.45" customHeight="1" x14ac:dyDescent="0.25">
      <c r="A138" s="2" t="s">
        <v>746</v>
      </c>
      <c r="B138" s="15" t="s">
        <v>747</v>
      </c>
      <c r="C138" s="3">
        <v>39829</v>
      </c>
      <c r="D138" s="2" t="s">
        <v>748</v>
      </c>
      <c r="E138" s="4" t="s">
        <v>130</v>
      </c>
      <c r="F138" s="2" t="s">
        <v>21</v>
      </c>
      <c r="N138" s="4" t="s">
        <v>4</v>
      </c>
      <c r="O138" s="4" t="s">
        <v>5</v>
      </c>
      <c r="P138" s="2" t="s">
        <v>25</v>
      </c>
      <c r="Q138" s="2" t="s">
        <v>40</v>
      </c>
      <c r="R138" s="2" t="s">
        <v>42</v>
      </c>
      <c r="S138" s="2" t="s">
        <v>48</v>
      </c>
      <c r="W138" s="4">
        <v>0</v>
      </c>
      <c r="X138" s="4">
        <v>0</v>
      </c>
      <c r="Y138" s="4">
        <v>0</v>
      </c>
      <c r="Z138" s="4">
        <f t="shared" si="2"/>
        <v>0</v>
      </c>
    </row>
    <row r="139" spans="1:26" ht="14.45" customHeight="1" x14ac:dyDescent="0.25">
      <c r="A139" s="2" t="s">
        <v>750</v>
      </c>
      <c r="B139" s="15" t="s">
        <v>751</v>
      </c>
      <c r="C139" s="3">
        <v>39826</v>
      </c>
      <c r="D139" s="2" t="s">
        <v>752</v>
      </c>
      <c r="E139" s="4" t="s">
        <v>749</v>
      </c>
      <c r="F139" s="2" t="s">
        <v>21</v>
      </c>
      <c r="N139" s="4" t="s">
        <v>4</v>
      </c>
      <c r="O139" s="4" t="s">
        <v>5</v>
      </c>
      <c r="P139" s="2" t="s">
        <v>25</v>
      </c>
      <c r="Q139" s="2" t="s">
        <v>16</v>
      </c>
      <c r="W139" s="4">
        <v>0</v>
      </c>
      <c r="X139" s="4">
        <v>0</v>
      </c>
      <c r="Y139" s="4">
        <v>0</v>
      </c>
      <c r="Z139" s="4">
        <f t="shared" si="2"/>
        <v>0</v>
      </c>
    </row>
    <row r="140" spans="1:26" ht="14.45" customHeight="1" x14ac:dyDescent="0.25">
      <c r="A140" s="2" t="s">
        <v>753</v>
      </c>
      <c r="B140" s="15" t="s">
        <v>754</v>
      </c>
      <c r="C140" s="3">
        <v>39826</v>
      </c>
      <c r="D140" s="2" t="s">
        <v>755</v>
      </c>
      <c r="E140" s="4" t="s">
        <v>749</v>
      </c>
      <c r="F140" s="2" t="s">
        <v>21</v>
      </c>
      <c r="N140" s="4" t="s">
        <v>4</v>
      </c>
      <c r="O140" s="4" t="s">
        <v>5</v>
      </c>
      <c r="P140" s="2" t="s">
        <v>25</v>
      </c>
      <c r="Q140" s="2" t="s">
        <v>16</v>
      </c>
      <c r="W140" s="4">
        <v>0</v>
      </c>
      <c r="X140" s="4">
        <v>0</v>
      </c>
      <c r="Y140" s="4">
        <v>0</v>
      </c>
      <c r="Z140" s="4">
        <f t="shared" si="2"/>
        <v>0</v>
      </c>
    </row>
    <row r="141" spans="1:26" ht="14.45" customHeight="1" x14ac:dyDescent="0.25">
      <c r="A141" s="2" t="s">
        <v>522</v>
      </c>
      <c r="B141" s="6" t="s">
        <v>523</v>
      </c>
      <c r="C141" s="3">
        <v>39821</v>
      </c>
      <c r="D141" s="2" t="s">
        <v>524</v>
      </c>
      <c r="E141" s="4" t="s">
        <v>112</v>
      </c>
      <c r="F141" s="2" t="s">
        <v>45</v>
      </c>
      <c r="K141" s="2" t="s">
        <v>68</v>
      </c>
      <c r="L141" s="2" t="s">
        <v>67</v>
      </c>
      <c r="N141" s="4" t="s">
        <v>5</v>
      </c>
      <c r="P141" s="2" t="s">
        <v>25</v>
      </c>
      <c r="Q141" s="2" t="s">
        <v>36</v>
      </c>
      <c r="R141" s="2" t="s">
        <v>17</v>
      </c>
      <c r="S141" s="2" t="s">
        <v>43</v>
      </c>
      <c r="W141" s="4">
        <v>0</v>
      </c>
      <c r="X141" s="4">
        <v>0</v>
      </c>
      <c r="Y141" s="4">
        <v>0.5</v>
      </c>
      <c r="Z141" s="4">
        <f t="shared" si="2"/>
        <v>0.5</v>
      </c>
    </row>
    <row r="142" spans="1:26" ht="14.45" customHeight="1" x14ac:dyDescent="0.25">
      <c r="A142" s="2" t="s">
        <v>756</v>
      </c>
      <c r="B142" s="15" t="s">
        <v>757</v>
      </c>
      <c r="C142" s="3">
        <v>39821</v>
      </c>
      <c r="D142" s="2" t="s">
        <v>758</v>
      </c>
      <c r="E142" s="4" t="s">
        <v>112</v>
      </c>
      <c r="F142" s="2" t="s">
        <v>21</v>
      </c>
      <c r="K142" s="2" t="s">
        <v>68</v>
      </c>
      <c r="N142" s="4" t="s">
        <v>5</v>
      </c>
      <c r="O142" s="4" t="s">
        <v>8</v>
      </c>
      <c r="P142" s="2" t="s">
        <v>36</v>
      </c>
      <c r="Q142" s="2" t="s">
        <v>17</v>
      </c>
      <c r="R142" s="2" t="s">
        <v>43</v>
      </c>
      <c r="W142" s="4">
        <v>0</v>
      </c>
      <c r="X142" s="4">
        <v>0</v>
      </c>
      <c r="Y142" s="4">
        <v>0.5</v>
      </c>
      <c r="Z142" s="4">
        <f t="shared" si="2"/>
        <v>0.5</v>
      </c>
    </row>
    <row r="143" spans="1:26" ht="14.45" customHeight="1" x14ac:dyDescent="0.25">
      <c r="A143" s="2" t="s">
        <v>526</v>
      </c>
      <c r="B143" s="6" t="s">
        <v>527</v>
      </c>
      <c r="C143" s="3">
        <v>39784</v>
      </c>
      <c r="D143" s="2" t="s">
        <v>528</v>
      </c>
      <c r="E143" s="4" t="s">
        <v>525</v>
      </c>
      <c r="F143" s="2" t="s">
        <v>45</v>
      </c>
      <c r="G143" s="2" t="s">
        <v>21</v>
      </c>
      <c r="K143" s="2" t="s">
        <v>67</v>
      </c>
      <c r="N143" s="4" t="s">
        <v>5</v>
      </c>
      <c r="O143" s="4" t="s">
        <v>6</v>
      </c>
      <c r="P143" s="2" t="s">
        <v>25</v>
      </c>
      <c r="Q143" s="2" t="s">
        <v>16</v>
      </c>
      <c r="R143" s="2" t="s">
        <v>33</v>
      </c>
      <c r="S143" s="2" t="s">
        <v>43</v>
      </c>
      <c r="T143" s="2" t="s">
        <v>19</v>
      </c>
      <c r="W143" s="4">
        <v>0</v>
      </c>
      <c r="X143" s="4">
        <v>0</v>
      </c>
      <c r="Y143" s="4">
        <v>0.5</v>
      </c>
      <c r="Z143" s="4">
        <f t="shared" si="2"/>
        <v>0.5</v>
      </c>
    </row>
    <row r="144" spans="1:26" ht="14.45" customHeight="1" x14ac:dyDescent="0.25">
      <c r="A144" s="2" t="s">
        <v>759</v>
      </c>
      <c r="B144" s="15" t="s">
        <v>760</v>
      </c>
      <c r="C144" s="3">
        <v>39784</v>
      </c>
      <c r="D144" s="2" t="s">
        <v>761</v>
      </c>
      <c r="E144" s="4" t="s">
        <v>525</v>
      </c>
      <c r="F144" s="2" t="s">
        <v>21</v>
      </c>
      <c r="K144" s="2" t="s">
        <v>68</v>
      </c>
      <c r="N144" s="4" t="s">
        <v>5</v>
      </c>
      <c r="O144" s="4" t="s">
        <v>8</v>
      </c>
      <c r="P144" s="2" t="s">
        <v>25</v>
      </c>
      <c r="Q144" s="2" t="s">
        <v>17</v>
      </c>
      <c r="R144" s="2" t="s">
        <v>33</v>
      </c>
      <c r="S144" s="2" t="s">
        <v>38</v>
      </c>
      <c r="T144" s="2" t="s">
        <v>42</v>
      </c>
      <c r="W144" s="4">
        <v>0</v>
      </c>
      <c r="X144" s="4">
        <v>0</v>
      </c>
      <c r="Y144" s="4">
        <v>0.5</v>
      </c>
      <c r="Z144" s="4">
        <f t="shared" si="2"/>
        <v>0.5</v>
      </c>
    </row>
    <row r="145" spans="1:26" ht="14.45" customHeight="1" x14ac:dyDescent="0.25">
      <c r="A145" s="2" t="s">
        <v>529</v>
      </c>
      <c r="B145" s="6" t="s">
        <v>530</v>
      </c>
      <c r="C145" s="3">
        <v>39720</v>
      </c>
      <c r="D145" s="2" t="s">
        <v>531</v>
      </c>
      <c r="E145" s="4" t="s">
        <v>79</v>
      </c>
      <c r="F145" s="2" t="s">
        <v>45</v>
      </c>
      <c r="N145" s="4" t="s">
        <v>8</v>
      </c>
      <c r="O145" s="4" t="s">
        <v>7</v>
      </c>
      <c r="P145" s="2" t="s">
        <v>25</v>
      </c>
      <c r="Q145" s="2" t="s">
        <v>17</v>
      </c>
      <c r="W145" s="4">
        <v>0</v>
      </c>
      <c r="X145" s="4">
        <v>0</v>
      </c>
      <c r="Y145" s="4">
        <v>0</v>
      </c>
      <c r="Z145" s="4">
        <f t="shared" si="2"/>
        <v>0</v>
      </c>
    </row>
    <row r="146" spans="1:26" ht="14.45" customHeight="1" x14ac:dyDescent="0.25">
      <c r="A146" s="2" t="s">
        <v>131</v>
      </c>
      <c r="B146" s="5" t="s">
        <v>132</v>
      </c>
      <c r="C146" s="3">
        <v>39699</v>
      </c>
      <c r="D146" s="2" t="s">
        <v>133</v>
      </c>
      <c r="E146" s="4" t="s">
        <v>130</v>
      </c>
      <c r="F146" s="2" t="s">
        <v>55</v>
      </c>
      <c r="G146" s="2" t="s">
        <v>54</v>
      </c>
      <c r="H146" s="2" t="s">
        <v>56</v>
      </c>
      <c r="I146" s="2" t="s">
        <v>21</v>
      </c>
      <c r="K146" s="2" t="s">
        <v>67</v>
      </c>
      <c r="L146" s="2" t="s">
        <v>69</v>
      </c>
      <c r="M146" s="2" t="s">
        <v>62</v>
      </c>
      <c r="N146" s="4" t="s">
        <v>4</v>
      </c>
      <c r="P146" s="2" t="s">
        <v>25</v>
      </c>
      <c r="Q146" s="2" t="s">
        <v>40</v>
      </c>
      <c r="R146" s="2" t="s">
        <v>38</v>
      </c>
      <c r="S146" s="2" t="s">
        <v>42</v>
      </c>
      <c r="W146" s="4">
        <v>0.5</v>
      </c>
      <c r="X146" s="4">
        <v>0</v>
      </c>
      <c r="Y146" s="4">
        <v>1</v>
      </c>
      <c r="Z146" s="4">
        <f t="shared" si="2"/>
        <v>1.5</v>
      </c>
    </row>
    <row r="147" spans="1:26" ht="14.45" customHeight="1" x14ac:dyDescent="0.25">
      <c r="A147" s="2" t="s">
        <v>1142</v>
      </c>
      <c r="B147" s="6" t="s">
        <v>1143</v>
      </c>
      <c r="C147" s="3">
        <v>39699</v>
      </c>
      <c r="D147" s="2" t="s">
        <v>1141</v>
      </c>
      <c r="E147" s="4" t="s">
        <v>130</v>
      </c>
      <c r="F147" s="2" t="s">
        <v>1032</v>
      </c>
      <c r="K147" s="2" t="s">
        <v>72</v>
      </c>
      <c r="L147" s="2" t="s">
        <v>65</v>
      </c>
      <c r="N147" s="4" t="s">
        <v>4</v>
      </c>
      <c r="P147" s="2" t="s">
        <v>40</v>
      </c>
      <c r="Q147" s="2" t="s">
        <v>42</v>
      </c>
      <c r="R147" s="2" t="s">
        <v>20</v>
      </c>
      <c r="W147" s="4">
        <v>0.5</v>
      </c>
      <c r="X147" s="4">
        <v>0.5</v>
      </c>
      <c r="Y147" s="4">
        <v>0</v>
      </c>
      <c r="Z147" s="4">
        <f t="shared" si="2"/>
        <v>1</v>
      </c>
    </row>
    <row r="148" spans="1:26" ht="14.45" customHeight="1" x14ac:dyDescent="0.25">
      <c r="A148" s="2" t="s">
        <v>763</v>
      </c>
      <c r="B148" s="6" t="s">
        <v>764</v>
      </c>
      <c r="C148" s="3">
        <v>39694</v>
      </c>
      <c r="D148" s="2" t="s">
        <v>765</v>
      </c>
      <c r="E148" s="4" t="s">
        <v>762</v>
      </c>
      <c r="F148" s="2" t="s">
        <v>21</v>
      </c>
      <c r="K148" s="2" t="s">
        <v>68</v>
      </c>
      <c r="N148" s="4" t="s">
        <v>5</v>
      </c>
      <c r="O148" s="4" t="s">
        <v>8</v>
      </c>
      <c r="P148" s="2" t="s">
        <v>14</v>
      </c>
      <c r="Q148" s="2" t="s">
        <v>25</v>
      </c>
      <c r="R148" s="2" t="s">
        <v>35</v>
      </c>
      <c r="S148" s="2" t="s">
        <v>43</v>
      </c>
      <c r="W148" s="4">
        <v>0</v>
      </c>
      <c r="X148" s="4">
        <v>0</v>
      </c>
      <c r="Y148" s="4">
        <v>0.5</v>
      </c>
      <c r="Z148" s="4">
        <f t="shared" si="2"/>
        <v>0.5</v>
      </c>
    </row>
    <row r="149" spans="1:26" ht="14.45" customHeight="1" x14ac:dyDescent="0.25">
      <c r="A149" s="2" t="s">
        <v>260</v>
      </c>
      <c r="B149" s="5" t="s">
        <v>261</v>
      </c>
      <c r="C149" s="3">
        <v>39678</v>
      </c>
      <c r="D149" s="2" t="s">
        <v>262</v>
      </c>
      <c r="E149" s="4" t="s">
        <v>259</v>
      </c>
      <c r="F149" s="2" t="s">
        <v>54</v>
      </c>
      <c r="K149" s="2" t="s">
        <v>67</v>
      </c>
      <c r="N149" s="4" t="s">
        <v>5</v>
      </c>
      <c r="P149" s="2" t="s">
        <v>36</v>
      </c>
      <c r="Q149" s="2" t="s">
        <v>40</v>
      </c>
      <c r="R149" s="2" t="s">
        <v>38</v>
      </c>
      <c r="S149" s="2" t="s">
        <v>19</v>
      </c>
      <c r="W149" s="4">
        <v>0</v>
      </c>
      <c r="X149" s="4">
        <v>0</v>
      </c>
      <c r="Y149" s="4">
        <v>0.5</v>
      </c>
      <c r="Z149" s="4">
        <f t="shared" si="2"/>
        <v>0.5</v>
      </c>
    </row>
    <row r="150" spans="1:26" ht="14.45" customHeight="1" x14ac:dyDescent="0.25">
      <c r="A150" s="2" t="s">
        <v>134</v>
      </c>
      <c r="B150" s="5" t="s">
        <v>135</v>
      </c>
      <c r="C150" s="3">
        <v>39663</v>
      </c>
      <c r="D150" s="2" t="s">
        <v>136</v>
      </c>
      <c r="E150" s="4" t="s">
        <v>137</v>
      </c>
      <c r="F150" s="2" t="s">
        <v>55</v>
      </c>
      <c r="K150" s="2" t="s">
        <v>72</v>
      </c>
      <c r="N150" s="4" t="s">
        <v>4</v>
      </c>
      <c r="O150" s="4" t="s">
        <v>8</v>
      </c>
      <c r="P150" s="2" t="s">
        <v>14</v>
      </c>
      <c r="Q150" s="2" t="s">
        <v>13</v>
      </c>
      <c r="R150" s="2" t="s">
        <v>38</v>
      </c>
      <c r="S150" s="2" t="s">
        <v>46</v>
      </c>
      <c r="T150" s="2" t="s">
        <v>39</v>
      </c>
      <c r="W150" s="4">
        <v>0</v>
      </c>
      <c r="X150" s="4">
        <v>0.5</v>
      </c>
      <c r="Y150" s="4">
        <v>0.5</v>
      </c>
      <c r="Z150" s="4">
        <f t="shared" si="2"/>
        <v>1</v>
      </c>
    </row>
    <row r="151" spans="1:26" ht="14.45" customHeight="1" x14ac:dyDescent="0.25">
      <c r="A151" s="2" t="s">
        <v>769</v>
      </c>
      <c r="B151" s="6" t="s">
        <v>770</v>
      </c>
      <c r="C151" s="3">
        <v>39663</v>
      </c>
      <c r="D151" s="2" t="s">
        <v>771</v>
      </c>
      <c r="E151" s="4" t="s">
        <v>137</v>
      </c>
      <c r="F151" s="2" t="s">
        <v>21</v>
      </c>
      <c r="K151" s="2" t="s">
        <v>69</v>
      </c>
      <c r="N151" s="4" t="s">
        <v>6</v>
      </c>
      <c r="P151" s="2" t="s">
        <v>14</v>
      </c>
      <c r="Q151" s="2" t="s">
        <v>38</v>
      </c>
      <c r="R151" s="2" t="s">
        <v>45</v>
      </c>
      <c r="S151" s="2" t="s">
        <v>18</v>
      </c>
      <c r="W151" s="4">
        <v>0</v>
      </c>
      <c r="X151" s="4">
        <v>0.5</v>
      </c>
      <c r="Y151" s="4">
        <v>0.5</v>
      </c>
      <c r="Z151" s="4">
        <f t="shared" si="2"/>
        <v>1</v>
      </c>
    </row>
    <row r="152" spans="1:26" ht="14.45" customHeight="1" x14ac:dyDescent="0.25">
      <c r="A152" s="2" t="s">
        <v>766</v>
      </c>
      <c r="B152" s="6" t="s">
        <v>767</v>
      </c>
      <c r="C152" s="3">
        <v>39663</v>
      </c>
      <c r="D152" s="2" t="s">
        <v>768</v>
      </c>
      <c r="E152" s="4" t="s">
        <v>137</v>
      </c>
      <c r="F152" s="2" t="s">
        <v>21</v>
      </c>
      <c r="K152" s="2" t="s">
        <v>67</v>
      </c>
      <c r="L152" s="2" t="s">
        <v>72</v>
      </c>
      <c r="N152" s="4" t="s">
        <v>4</v>
      </c>
      <c r="O152" s="4" t="s">
        <v>5</v>
      </c>
      <c r="P152" s="2" t="s">
        <v>14</v>
      </c>
      <c r="Q152" s="2" t="s">
        <v>33</v>
      </c>
      <c r="R152" s="2" t="s">
        <v>38</v>
      </c>
      <c r="S152" s="2" t="s">
        <v>34</v>
      </c>
      <c r="T152" s="2" t="s">
        <v>46</v>
      </c>
      <c r="U152" s="2" t="s">
        <v>18</v>
      </c>
      <c r="W152" s="4">
        <v>0</v>
      </c>
      <c r="X152" s="4">
        <v>0.5</v>
      </c>
      <c r="Y152" s="4">
        <v>0</v>
      </c>
      <c r="Z152" s="4">
        <f t="shared" si="2"/>
        <v>0.5</v>
      </c>
    </row>
    <row r="153" spans="1:26" ht="14.45" customHeight="1" x14ac:dyDescent="0.25">
      <c r="A153" s="2" t="s">
        <v>772</v>
      </c>
      <c r="B153" s="6" t="s">
        <v>773</v>
      </c>
      <c r="C153" s="3">
        <v>39657</v>
      </c>
      <c r="D153" s="2" t="s">
        <v>774</v>
      </c>
      <c r="E153" s="4" t="s">
        <v>377</v>
      </c>
      <c r="F153" s="2" t="s">
        <v>21</v>
      </c>
      <c r="K153" s="2" t="s">
        <v>69</v>
      </c>
      <c r="L153" s="2" t="s">
        <v>75</v>
      </c>
      <c r="M153" s="2" t="s">
        <v>68</v>
      </c>
      <c r="N153" s="4" t="s">
        <v>4</v>
      </c>
      <c r="O153" s="4" t="s">
        <v>5</v>
      </c>
      <c r="P153" s="2" t="s">
        <v>25</v>
      </c>
      <c r="Q153" s="2" t="s">
        <v>36</v>
      </c>
      <c r="R153" s="2" t="s">
        <v>40</v>
      </c>
      <c r="S153" s="2" t="s">
        <v>38</v>
      </c>
      <c r="T153" s="2" t="s">
        <v>46</v>
      </c>
      <c r="W153" s="4">
        <v>0.5</v>
      </c>
      <c r="X153" s="4">
        <v>0</v>
      </c>
      <c r="Y153" s="4">
        <v>0.5</v>
      </c>
      <c r="Z153" s="4">
        <f t="shared" si="2"/>
        <v>1</v>
      </c>
    </row>
    <row r="154" spans="1:26" ht="14.45" customHeight="1" x14ac:dyDescent="0.25">
      <c r="A154" s="2" t="s">
        <v>1066</v>
      </c>
      <c r="B154" s="19" t="s">
        <v>1067</v>
      </c>
      <c r="C154" s="3">
        <v>39654</v>
      </c>
      <c r="D154" s="2" t="s">
        <v>1068</v>
      </c>
      <c r="E154" s="4" t="s">
        <v>475</v>
      </c>
      <c r="F154" s="2" t="s">
        <v>187</v>
      </c>
      <c r="N154" s="4" t="s">
        <v>5</v>
      </c>
      <c r="O154" s="4" t="s">
        <v>8</v>
      </c>
      <c r="P154" s="2" t="s">
        <v>25</v>
      </c>
      <c r="Q154" s="2" t="s">
        <v>42</v>
      </c>
      <c r="R154" s="2" t="s">
        <v>43</v>
      </c>
      <c r="S154" s="2" t="s">
        <v>18</v>
      </c>
      <c r="T154" s="2" t="s">
        <v>39</v>
      </c>
      <c r="W154" s="4">
        <v>0</v>
      </c>
      <c r="X154" s="4">
        <v>0</v>
      </c>
      <c r="Y154" s="4">
        <v>0</v>
      </c>
      <c r="Z154" s="4">
        <f t="shared" si="2"/>
        <v>0</v>
      </c>
    </row>
    <row r="155" spans="1:26" ht="14.45" customHeight="1" x14ac:dyDescent="0.25">
      <c r="A155" s="2" t="s">
        <v>1069</v>
      </c>
      <c r="B155" s="19" t="s">
        <v>1070</v>
      </c>
      <c r="C155" s="3">
        <v>39609</v>
      </c>
      <c r="D155" s="2" t="s">
        <v>1071</v>
      </c>
      <c r="E155" s="4" t="s">
        <v>161</v>
      </c>
      <c r="F155" s="2" t="s">
        <v>187</v>
      </c>
      <c r="K155" s="2" t="s">
        <v>72</v>
      </c>
      <c r="N155" s="4" t="s">
        <v>5</v>
      </c>
      <c r="O155" s="4" t="s">
        <v>8</v>
      </c>
      <c r="P155" s="2" t="s">
        <v>40</v>
      </c>
      <c r="Q155" s="2" t="s">
        <v>16</v>
      </c>
      <c r="R155" s="2" t="s">
        <v>44</v>
      </c>
      <c r="S155" s="2" t="s">
        <v>22</v>
      </c>
      <c r="W155" s="4">
        <v>0</v>
      </c>
      <c r="X155" s="4">
        <v>0.5</v>
      </c>
      <c r="Y155" s="4">
        <v>0</v>
      </c>
      <c r="Z155" s="4">
        <f t="shared" si="2"/>
        <v>0.5</v>
      </c>
    </row>
    <row r="156" spans="1:26" ht="14.45" customHeight="1" x14ac:dyDescent="0.25">
      <c r="A156" s="2" t="s">
        <v>532</v>
      </c>
      <c r="B156" s="6" t="s">
        <v>533</v>
      </c>
      <c r="C156" s="3">
        <v>39605</v>
      </c>
      <c r="D156" s="2" t="s">
        <v>534</v>
      </c>
      <c r="E156" s="4" t="s">
        <v>161</v>
      </c>
      <c r="F156" s="2" t="s">
        <v>45</v>
      </c>
      <c r="N156" s="4" t="s">
        <v>8</v>
      </c>
      <c r="P156" s="2" t="s">
        <v>25</v>
      </c>
      <c r="Q156" s="2" t="s">
        <v>40</v>
      </c>
      <c r="R156" s="2" t="s">
        <v>16</v>
      </c>
      <c r="S156" s="2" t="s">
        <v>19</v>
      </c>
      <c r="T156" s="2" t="s">
        <v>18</v>
      </c>
      <c r="W156" s="4">
        <v>0</v>
      </c>
      <c r="X156" s="4">
        <v>0</v>
      </c>
      <c r="Y156" s="4">
        <v>0</v>
      </c>
      <c r="Z156" s="4">
        <f t="shared" si="2"/>
        <v>0</v>
      </c>
    </row>
    <row r="157" spans="1:26" ht="14.45" customHeight="1" x14ac:dyDescent="0.25">
      <c r="A157" s="2" t="s">
        <v>783</v>
      </c>
      <c r="B157" s="6" t="s">
        <v>784</v>
      </c>
      <c r="C157" s="3">
        <v>39595</v>
      </c>
      <c r="D157" s="2" t="s">
        <v>785</v>
      </c>
      <c r="E157" s="4" t="s">
        <v>779</v>
      </c>
      <c r="F157" s="2" t="s">
        <v>21</v>
      </c>
      <c r="K157" s="2" t="s">
        <v>71</v>
      </c>
      <c r="L157" s="2" t="s">
        <v>61</v>
      </c>
      <c r="N157" s="4" t="s">
        <v>4</v>
      </c>
      <c r="O157" s="4" t="s">
        <v>8</v>
      </c>
      <c r="P157" s="2" t="s">
        <v>25</v>
      </c>
      <c r="Q157" s="2" t="s">
        <v>33</v>
      </c>
      <c r="R157" s="2" t="s">
        <v>43</v>
      </c>
      <c r="S157" s="2" t="s">
        <v>45</v>
      </c>
      <c r="T157" s="2" t="s">
        <v>48</v>
      </c>
      <c r="W157" s="4">
        <v>0.5</v>
      </c>
      <c r="X157" s="4">
        <v>0.5</v>
      </c>
      <c r="Y157" s="4">
        <v>0.5</v>
      </c>
      <c r="Z157" s="4">
        <f t="shared" si="2"/>
        <v>1.5</v>
      </c>
    </row>
    <row r="158" spans="1:26" ht="14.45" customHeight="1" x14ac:dyDescent="0.25">
      <c r="A158" s="2" t="s">
        <v>776</v>
      </c>
      <c r="B158" s="6" t="s">
        <v>777</v>
      </c>
      <c r="C158" s="3">
        <v>39595</v>
      </c>
      <c r="D158" s="2" t="s">
        <v>778</v>
      </c>
      <c r="E158" s="4" t="s">
        <v>775</v>
      </c>
      <c r="F158" s="2" t="s">
        <v>21</v>
      </c>
      <c r="K158" s="2" t="s">
        <v>68</v>
      </c>
      <c r="L158" s="2" t="s">
        <v>69</v>
      </c>
      <c r="N158" s="4" t="s">
        <v>5</v>
      </c>
      <c r="O158" s="4" t="s">
        <v>8</v>
      </c>
      <c r="P158" s="2" t="s">
        <v>25</v>
      </c>
      <c r="Q158" s="2" t="s">
        <v>41</v>
      </c>
      <c r="R158" s="2" t="s">
        <v>33</v>
      </c>
      <c r="S158" s="2" t="s">
        <v>43</v>
      </c>
      <c r="W158" s="4">
        <v>0</v>
      </c>
      <c r="X158" s="4">
        <v>0</v>
      </c>
      <c r="Y158" s="4">
        <v>0.5</v>
      </c>
      <c r="Z158" s="4">
        <f t="shared" si="2"/>
        <v>0.5</v>
      </c>
    </row>
    <row r="159" spans="1:26" ht="14.45" customHeight="1" x14ac:dyDescent="0.25">
      <c r="A159" s="2" t="s">
        <v>1072</v>
      </c>
      <c r="B159" s="19" t="s">
        <v>1073</v>
      </c>
      <c r="C159" s="3">
        <v>39595</v>
      </c>
      <c r="D159" s="2" t="s">
        <v>1074</v>
      </c>
      <c r="E159" s="4" t="s">
        <v>779</v>
      </c>
      <c r="F159" s="2" t="s">
        <v>187</v>
      </c>
      <c r="K159" s="2" t="s">
        <v>72</v>
      </c>
      <c r="N159" s="4" t="s">
        <v>5</v>
      </c>
      <c r="O159" s="4" t="s">
        <v>6</v>
      </c>
      <c r="P159" s="2" t="s">
        <v>25</v>
      </c>
      <c r="Q159" s="2" t="s">
        <v>33</v>
      </c>
      <c r="R159" s="2" t="s">
        <v>38</v>
      </c>
      <c r="S159" s="2" t="s">
        <v>48</v>
      </c>
      <c r="W159" s="4">
        <v>0</v>
      </c>
      <c r="X159" s="4">
        <v>0.5</v>
      </c>
      <c r="Y159" s="4">
        <v>0</v>
      </c>
      <c r="Z159" s="4">
        <f t="shared" si="2"/>
        <v>0.5</v>
      </c>
    </row>
    <row r="160" spans="1:26" ht="14.45" customHeight="1" x14ac:dyDescent="0.25">
      <c r="A160" s="2" t="s">
        <v>780</v>
      </c>
      <c r="B160" s="6" t="s">
        <v>781</v>
      </c>
      <c r="C160" s="3">
        <v>39595</v>
      </c>
      <c r="D160" s="2" t="s">
        <v>782</v>
      </c>
      <c r="E160" s="4" t="s">
        <v>779</v>
      </c>
      <c r="F160" s="2" t="s">
        <v>21</v>
      </c>
      <c r="N160" s="4" t="s">
        <v>4</v>
      </c>
      <c r="O160" s="4" t="s">
        <v>5</v>
      </c>
      <c r="P160" s="2" t="s">
        <v>25</v>
      </c>
      <c r="Q160" s="2" t="s">
        <v>32</v>
      </c>
      <c r="R160" s="2" t="s">
        <v>40</v>
      </c>
      <c r="S160" s="2" t="s">
        <v>42</v>
      </c>
      <c r="T160" s="2" t="s">
        <v>48</v>
      </c>
      <c r="U160" s="2" t="s">
        <v>22</v>
      </c>
      <c r="W160" s="4">
        <v>0</v>
      </c>
      <c r="X160" s="4">
        <v>0</v>
      </c>
      <c r="Y160" s="4">
        <v>0</v>
      </c>
      <c r="Z160" s="4">
        <f t="shared" si="2"/>
        <v>0</v>
      </c>
    </row>
    <row r="161" spans="1:26" ht="14.45" customHeight="1" x14ac:dyDescent="0.25">
      <c r="A161" s="2" t="s">
        <v>787</v>
      </c>
      <c r="B161" s="6" t="s">
        <v>788</v>
      </c>
      <c r="C161" s="3">
        <v>39587</v>
      </c>
      <c r="D161" s="2" t="s">
        <v>789</v>
      </c>
      <c r="E161" s="4" t="s">
        <v>786</v>
      </c>
      <c r="F161" s="2" t="s">
        <v>21</v>
      </c>
      <c r="K161" s="2" t="s">
        <v>68</v>
      </c>
      <c r="N161" s="4" t="s">
        <v>5</v>
      </c>
      <c r="O161" s="4" t="s">
        <v>8</v>
      </c>
      <c r="P161" s="2" t="s">
        <v>25</v>
      </c>
      <c r="Q161" s="2" t="s">
        <v>36</v>
      </c>
      <c r="R161" s="2" t="s">
        <v>17</v>
      </c>
      <c r="S161" s="2" t="s">
        <v>33</v>
      </c>
      <c r="T161" s="2" t="s">
        <v>43</v>
      </c>
      <c r="W161" s="4">
        <v>0</v>
      </c>
      <c r="X161" s="4">
        <v>0</v>
      </c>
      <c r="Y161" s="4">
        <v>0.5</v>
      </c>
      <c r="Z161" s="4">
        <f t="shared" si="2"/>
        <v>0.5</v>
      </c>
    </row>
    <row r="162" spans="1:26" ht="14.45" customHeight="1" x14ac:dyDescent="0.25">
      <c r="A162" s="2" t="s">
        <v>790</v>
      </c>
      <c r="B162" s="6" t="s">
        <v>791</v>
      </c>
      <c r="C162" s="3">
        <v>39568</v>
      </c>
      <c r="D162" s="2" t="s">
        <v>792</v>
      </c>
      <c r="E162" s="4" t="s">
        <v>137</v>
      </c>
      <c r="F162" s="2" t="s">
        <v>21</v>
      </c>
      <c r="K162" s="2" t="s">
        <v>68</v>
      </c>
      <c r="N162" s="4" t="s">
        <v>5</v>
      </c>
      <c r="O162" s="4" t="s">
        <v>8</v>
      </c>
      <c r="P162" s="2" t="s">
        <v>14</v>
      </c>
      <c r="Q162" s="2" t="s">
        <v>16</v>
      </c>
      <c r="R162" s="2" t="s">
        <v>38</v>
      </c>
      <c r="S162" s="2" t="s">
        <v>46</v>
      </c>
      <c r="W162" s="4">
        <v>0</v>
      </c>
      <c r="X162" s="4">
        <v>0</v>
      </c>
      <c r="Y162" s="4">
        <v>0.5</v>
      </c>
      <c r="Z162" s="4">
        <f t="shared" si="2"/>
        <v>0.5</v>
      </c>
    </row>
    <row r="163" spans="1:26" ht="14.45" customHeight="1" x14ac:dyDescent="0.25">
      <c r="A163" s="2" t="s">
        <v>1075</v>
      </c>
      <c r="B163" s="15" t="s">
        <v>1076</v>
      </c>
      <c r="C163" s="3">
        <v>39526</v>
      </c>
      <c r="D163" s="2" t="s">
        <v>1077</v>
      </c>
      <c r="E163" s="4" t="s">
        <v>381</v>
      </c>
      <c r="F163" s="2" t="s">
        <v>21</v>
      </c>
      <c r="K163" s="2" t="s">
        <v>72</v>
      </c>
      <c r="L163" s="2" t="s">
        <v>67</v>
      </c>
      <c r="M163" s="2" t="s">
        <v>62</v>
      </c>
      <c r="N163" s="4" t="s">
        <v>5</v>
      </c>
      <c r="O163" s="4" t="s">
        <v>9</v>
      </c>
      <c r="P163" s="2" t="s">
        <v>25</v>
      </c>
      <c r="Q163" s="2" t="s">
        <v>41</v>
      </c>
      <c r="R163" s="2" t="s">
        <v>23</v>
      </c>
      <c r="W163" s="4">
        <v>0.5</v>
      </c>
      <c r="X163" s="4">
        <v>0.5</v>
      </c>
      <c r="Y163" s="4">
        <v>0.5</v>
      </c>
      <c r="Z163" s="4">
        <f t="shared" si="2"/>
        <v>1.5</v>
      </c>
    </row>
    <row r="164" spans="1:26" ht="14.45" customHeight="1" x14ac:dyDescent="0.25">
      <c r="A164" s="2" t="s">
        <v>535</v>
      </c>
      <c r="B164" s="6" t="s">
        <v>536</v>
      </c>
      <c r="C164" s="3">
        <v>39526</v>
      </c>
      <c r="D164" s="2" t="s">
        <v>537</v>
      </c>
      <c r="E164" s="4" t="s">
        <v>381</v>
      </c>
      <c r="F164" s="2" t="s">
        <v>45</v>
      </c>
      <c r="G164" s="2" t="s">
        <v>21</v>
      </c>
      <c r="K164" s="2" t="s">
        <v>72</v>
      </c>
      <c r="L164" s="2" t="s">
        <v>68</v>
      </c>
      <c r="N164" s="4" t="s">
        <v>5</v>
      </c>
      <c r="O164" s="4" t="s">
        <v>8</v>
      </c>
      <c r="P164" s="2" t="s">
        <v>37</v>
      </c>
      <c r="Q164" s="2" t="s">
        <v>23</v>
      </c>
      <c r="R164" s="2" t="s">
        <v>38</v>
      </c>
      <c r="S164" s="2" t="s">
        <v>44</v>
      </c>
      <c r="T164" s="2" t="s">
        <v>46</v>
      </c>
      <c r="W164" s="4">
        <v>0</v>
      </c>
      <c r="X164" s="4">
        <v>0.5</v>
      </c>
      <c r="Y164" s="4">
        <v>0.5</v>
      </c>
      <c r="Z164" s="4">
        <f t="shared" si="2"/>
        <v>1</v>
      </c>
    </row>
    <row r="165" spans="1:26" ht="14.45" customHeight="1" x14ac:dyDescent="0.25">
      <c r="A165" s="2" t="s">
        <v>1144</v>
      </c>
      <c r="B165" s="6" t="s">
        <v>1145</v>
      </c>
      <c r="C165" s="3">
        <v>39526</v>
      </c>
      <c r="D165" s="2" t="s">
        <v>1146</v>
      </c>
      <c r="E165" s="4" t="s">
        <v>381</v>
      </c>
      <c r="F165" s="2" t="s">
        <v>1032</v>
      </c>
      <c r="K165" s="2" t="s">
        <v>72</v>
      </c>
      <c r="N165" s="4" t="s">
        <v>8</v>
      </c>
      <c r="O165" s="4" t="s">
        <v>5</v>
      </c>
      <c r="P165" s="2" t="s">
        <v>25</v>
      </c>
      <c r="Q165" s="2" t="s">
        <v>23</v>
      </c>
      <c r="R165" s="2" t="s">
        <v>38</v>
      </c>
      <c r="S165" s="2" t="s">
        <v>46</v>
      </c>
      <c r="T165" s="2" t="s">
        <v>18</v>
      </c>
      <c r="W165" s="4">
        <v>0</v>
      </c>
      <c r="X165" s="4">
        <v>0.5</v>
      </c>
      <c r="Y165" s="4">
        <v>0</v>
      </c>
      <c r="Z165" s="4">
        <f t="shared" si="2"/>
        <v>0.5</v>
      </c>
    </row>
    <row r="166" spans="1:26" ht="14.45" customHeight="1" x14ac:dyDescent="0.25">
      <c r="A166" s="2" t="s">
        <v>378</v>
      </c>
      <c r="B166" s="15" t="s">
        <v>379</v>
      </c>
      <c r="C166" s="3">
        <v>39526</v>
      </c>
      <c r="D166" s="2" t="s">
        <v>380</v>
      </c>
      <c r="E166" s="4" t="s">
        <v>381</v>
      </c>
      <c r="F166" s="2" t="s">
        <v>56</v>
      </c>
      <c r="K166" s="2" t="s">
        <v>72</v>
      </c>
      <c r="N166" s="4" t="s">
        <v>4</v>
      </c>
      <c r="P166" s="2" t="s">
        <v>25</v>
      </c>
      <c r="Q166" s="2" t="s">
        <v>30</v>
      </c>
      <c r="R166" s="2" t="s">
        <v>23</v>
      </c>
      <c r="S166" s="2" t="s">
        <v>38</v>
      </c>
      <c r="T166" s="2" t="s">
        <v>46</v>
      </c>
      <c r="W166" s="4">
        <v>0</v>
      </c>
      <c r="X166" s="4">
        <v>0.5</v>
      </c>
      <c r="Y166" s="4">
        <v>0</v>
      </c>
      <c r="Z166" s="4">
        <f t="shared" si="2"/>
        <v>0.5</v>
      </c>
    </row>
    <row r="167" spans="1:26" ht="14.45" customHeight="1" x14ac:dyDescent="0.25">
      <c r="A167" s="2" t="s">
        <v>263</v>
      </c>
      <c r="B167" s="5" t="s">
        <v>264</v>
      </c>
      <c r="C167" s="3">
        <v>39518</v>
      </c>
      <c r="D167" s="2" t="s">
        <v>265</v>
      </c>
      <c r="E167" s="4" t="s">
        <v>266</v>
      </c>
      <c r="F167" s="2" t="s">
        <v>54</v>
      </c>
      <c r="N167" s="4" t="s">
        <v>5</v>
      </c>
      <c r="P167" s="2" t="s">
        <v>13</v>
      </c>
      <c r="Q167" s="2" t="s">
        <v>42</v>
      </c>
      <c r="R167" s="2" t="s">
        <v>19</v>
      </c>
      <c r="S167" s="2" t="s">
        <v>45</v>
      </c>
      <c r="T167" s="2" t="s">
        <v>22</v>
      </c>
      <c r="W167" s="4">
        <v>0</v>
      </c>
      <c r="X167" s="4">
        <v>0</v>
      </c>
      <c r="Y167" s="4">
        <v>0</v>
      </c>
      <c r="Z167" s="4">
        <f t="shared" si="2"/>
        <v>0</v>
      </c>
    </row>
    <row r="168" spans="1:26" ht="14.45" customHeight="1" x14ac:dyDescent="0.25">
      <c r="A168" s="2" t="s">
        <v>794</v>
      </c>
      <c r="B168" s="6" t="s">
        <v>795</v>
      </c>
      <c r="C168" s="3">
        <v>39513</v>
      </c>
      <c r="D168" s="2" t="s">
        <v>796</v>
      </c>
      <c r="E168" s="4" t="s">
        <v>793</v>
      </c>
      <c r="F168" s="2" t="s">
        <v>21</v>
      </c>
      <c r="N168" s="4" t="s">
        <v>4</v>
      </c>
      <c r="O168" s="4" t="s">
        <v>5</v>
      </c>
      <c r="P168" s="2" t="s">
        <v>25</v>
      </c>
      <c r="Q168" s="2" t="s">
        <v>16</v>
      </c>
      <c r="R168" s="2" t="s">
        <v>33</v>
      </c>
      <c r="S168" s="2" t="s">
        <v>43</v>
      </c>
      <c r="W168" s="4">
        <v>0</v>
      </c>
      <c r="X168" s="4">
        <v>0</v>
      </c>
      <c r="Y168" s="4">
        <v>0</v>
      </c>
      <c r="Z168" s="4">
        <f t="shared" si="2"/>
        <v>0</v>
      </c>
    </row>
    <row r="169" spans="1:26" ht="14.45" customHeight="1" x14ac:dyDescent="0.25">
      <c r="A169" s="2" t="s">
        <v>797</v>
      </c>
      <c r="B169" s="6" t="s">
        <v>798</v>
      </c>
      <c r="C169" s="3">
        <v>39513</v>
      </c>
      <c r="D169" s="2" t="s">
        <v>799</v>
      </c>
      <c r="E169" s="4" t="s">
        <v>793</v>
      </c>
      <c r="F169" s="2" t="s">
        <v>21</v>
      </c>
      <c r="N169" s="4" t="s">
        <v>4</v>
      </c>
      <c r="O169" s="4" t="s">
        <v>5</v>
      </c>
      <c r="P169" s="2" t="s">
        <v>25</v>
      </c>
      <c r="Q169" s="2" t="s">
        <v>16</v>
      </c>
      <c r="R169" s="2" t="s">
        <v>33</v>
      </c>
      <c r="S169" s="2" t="s">
        <v>43</v>
      </c>
      <c r="T169" s="2" t="s">
        <v>48</v>
      </c>
      <c r="W169" s="4">
        <v>0</v>
      </c>
      <c r="X169" s="4">
        <v>0</v>
      </c>
      <c r="Y169" s="4">
        <v>0</v>
      </c>
      <c r="Z169" s="4">
        <f t="shared" si="2"/>
        <v>0</v>
      </c>
    </row>
    <row r="170" spans="1:26" ht="14.45" customHeight="1" x14ac:dyDescent="0.25">
      <c r="A170" s="2" t="s">
        <v>756</v>
      </c>
      <c r="B170" s="6" t="s">
        <v>801</v>
      </c>
      <c r="C170" s="3">
        <v>39512</v>
      </c>
      <c r="D170" s="2" t="s">
        <v>802</v>
      </c>
      <c r="E170" s="4" t="s">
        <v>800</v>
      </c>
      <c r="F170" s="2" t="s">
        <v>21</v>
      </c>
      <c r="K170" s="2" t="s">
        <v>68</v>
      </c>
      <c r="N170" s="4" t="s">
        <v>5</v>
      </c>
      <c r="O170" s="4" t="s">
        <v>8</v>
      </c>
      <c r="P170" s="2" t="s">
        <v>36</v>
      </c>
      <c r="Q170" s="2" t="s">
        <v>33</v>
      </c>
      <c r="R170" s="2" t="s">
        <v>42</v>
      </c>
      <c r="S170" s="2" t="s">
        <v>43</v>
      </c>
      <c r="W170" s="4">
        <v>0</v>
      </c>
      <c r="X170" s="4">
        <v>0</v>
      </c>
      <c r="Y170" s="4">
        <v>0.5</v>
      </c>
      <c r="Z170" s="4">
        <f t="shared" si="2"/>
        <v>0.5</v>
      </c>
    </row>
    <row r="171" spans="1:26" ht="14.45" customHeight="1" x14ac:dyDescent="0.25">
      <c r="A171" s="2" t="s">
        <v>382</v>
      </c>
      <c r="B171" s="15" t="s">
        <v>383</v>
      </c>
      <c r="C171" s="3">
        <v>39490</v>
      </c>
      <c r="D171" s="2" t="s">
        <v>384</v>
      </c>
      <c r="E171" s="4" t="s">
        <v>138</v>
      </c>
      <c r="F171" s="2" t="s">
        <v>56</v>
      </c>
      <c r="G171" s="2" t="s">
        <v>45</v>
      </c>
      <c r="H171" s="2" t="s">
        <v>21</v>
      </c>
      <c r="K171" s="2" t="s">
        <v>67</v>
      </c>
      <c r="L171" s="2" t="s">
        <v>69</v>
      </c>
      <c r="N171" s="4" t="s">
        <v>4</v>
      </c>
      <c r="O171" s="4" t="s">
        <v>5</v>
      </c>
      <c r="P171" s="2" t="s">
        <v>40</v>
      </c>
      <c r="Q171" s="2" t="s">
        <v>38</v>
      </c>
      <c r="W171" s="4">
        <v>0</v>
      </c>
      <c r="X171" s="4">
        <v>0</v>
      </c>
      <c r="Y171" s="4">
        <v>0.5</v>
      </c>
      <c r="Z171" s="4">
        <f t="shared" si="2"/>
        <v>0.5</v>
      </c>
    </row>
    <row r="172" spans="1:26" ht="14.45" customHeight="1" x14ac:dyDescent="0.25">
      <c r="A172" s="2" t="s">
        <v>139</v>
      </c>
      <c r="B172" s="5" t="s">
        <v>140</v>
      </c>
      <c r="C172" s="3">
        <v>39490</v>
      </c>
      <c r="D172" s="2" t="s">
        <v>141</v>
      </c>
      <c r="E172" s="4" t="s">
        <v>138</v>
      </c>
      <c r="F172" s="2" t="s">
        <v>55</v>
      </c>
      <c r="G172" s="2" t="s">
        <v>21</v>
      </c>
      <c r="K172" s="2" t="s">
        <v>67</v>
      </c>
      <c r="L172" s="2" t="s">
        <v>69</v>
      </c>
      <c r="N172" s="4" t="s">
        <v>4</v>
      </c>
      <c r="O172" s="4" t="s">
        <v>8</v>
      </c>
      <c r="P172" s="2" t="s">
        <v>40</v>
      </c>
      <c r="Q172" s="2" t="s">
        <v>45</v>
      </c>
      <c r="R172" s="2" t="s">
        <v>34</v>
      </c>
      <c r="W172" s="4">
        <v>0</v>
      </c>
      <c r="X172" s="4">
        <v>0</v>
      </c>
      <c r="Y172" s="4">
        <v>0.5</v>
      </c>
      <c r="Z172" s="4">
        <f t="shared" si="2"/>
        <v>0.5</v>
      </c>
    </row>
    <row r="173" spans="1:26" ht="14.25" customHeight="1" x14ac:dyDescent="0.25">
      <c r="A173" s="2" t="s">
        <v>143</v>
      </c>
      <c r="B173" s="5" t="s">
        <v>144</v>
      </c>
      <c r="C173" s="3">
        <v>39461</v>
      </c>
      <c r="D173" s="16" t="s">
        <v>145</v>
      </c>
      <c r="E173" s="4" t="s">
        <v>142</v>
      </c>
      <c r="F173" s="2" t="s">
        <v>55</v>
      </c>
      <c r="G173" s="2" t="s">
        <v>54</v>
      </c>
      <c r="K173" s="2" t="s">
        <v>62</v>
      </c>
      <c r="L173" s="2" t="s">
        <v>75</v>
      </c>
      <c r="M173" s="2" t="s">
        <v>64</v>
      </c>
      <c r="N173" s="4" t="s">
        <v>8</v>
      </c>
      <c r="P173" s="2" t="s">
        <v>14</v>
      </c>
      <c r="Q173" s="2" t="s">
        <v>25</v>
      </c>
      <c r="R173" s="2" t="s">
        <v>13</v>
      </c>
      <c r="S173" s="2" t="s">
        <v>21</v>
      </c>
      <c r="W173" s="4">
        <v>1</v>
      </c>
      <c r="X173" s="4">
        <v>0</v>
      </c>
      <c r="Y173" s="4">
        <v>0</v>
      </c>
      <c r="Z173" s="4">
        <f t="shared" si="2"/>
        <v>1</v>
      </c>
    </row>
    <row r="174" spans="1:26" ht="14.25" customHeight="1" x14ac:dyDescent="0.25">
      <c r="A174" s="2" t="s">
        <v>146</v>
      </c>
      <c r="B174" s="5" t="s">
        <v>147</v>
      </c>
      <c r="C174" s="3">
        <v>39461</v>
      </c>
      <c r="D174" s="4" t="s">
        <v>148</v>
      </c>
      <c r="E174" s="4" t="s">
        <v>142</v>
      </c>
      <c r="F174" s="2" t="s">
        <v>55</v>
      </c>
      <c r="K174" s="2" t="s">
        <v>60</v>
      </c>
      <c r="L174" s="2" t="s">
        <v>62</v>
      </c>
      <c r="N174" s="4" t="s">
        <v>8</v>
      </c>
      <c r="P174" s="2" t="s">
        <v>14</v>
      </c>
      <c r="Q174" s="2" t="s">
        <v>21</v>
      </c>
      <c r="W174" s="4">
        <v>0.5</v>
      </c>
      <c r="X174" s="4">
        <v>0</v>
      </c>
      <c r="Y174" s="4">
        <v>0</v>
      </c>
      <c r="Z174" s="4">
        <f t="shared" si="2"/>
        <v>0.5</v>
      </c>
    </row>
    <row r="175" spans="1:26" ht="14.45" customHeight="1" x14ac:dyDescent="0.25">
      <c r="A175" s="2" t="s">
        <v>385</v>
      </c>
      <c r="B175" s="15" t="s">
        <v>386</v>
      </c>
      <c r="C175" s="3">
        <v>39458</v>
      </c>
      <c r="D175" s="2" t="s">
        <v>387</v>
      </c>
      <c r="E175" s="4" t="s">
        <v>259</v>
      </c>
      <c r="F175" s="2" t="s">
        <v>56</v>
      </c>
      <c r="K175" s="2" t="s">
        <v>68</v>
      </c>
      <c r="N175" s="4" t="s">
        <v>5</v>
      </c>
      <c r="P175" s="2" t="s">
        <v>13</v>
      </c>
      <c r="Q175" s="2" t="s">
        <v>33</v>
      </c>
      <c r="R175" s="2" t="s">
        <v>38</v>
      </c>
      <c r="S175" s="2" t="s">
        <v>43</v>
      </c>
      <c r="W175" s="4">
        <v>0</v>
      </c>
      <c r="X175" s="4">
        <v>0</v>
      </c>
      <c r="Y175" s="4">
        <v>0.5</v>
      </c>
      <c r="Z175" s="4">
        <f t="shared" si="2"/>
        <v>0.5</v>
      </c>
    </row>
    <row r="176" spans="1:26" ht="14.45" customHeight="1" x14ac:dyDescent="0.25">
      <c r="A176" s="2" t="s">
        <v>804</v>
      </c>
      <c r="B176" s="15" t="s">
        <v>805</v>
      </c>
      <c r="C176" s="3">
        <v>39455</v>
      </c>
      <c r="D176" s="2" t="s">
        <v>806</v>
      </c>
      <c r="E176" s="4" t="s">
        <v>803</v>
      </c>
      <c r="F176" s="2" t="s">
        <v>21</v>
      </c>
      <c r="N176" s="4" t="s">
        <v>9</v>
      </c>
      <c r="O176" s="4" t="s">
        <v>7</v>
      </c>
      <c r="P176" s="2" t="s">
        <v>25</v>
      </c>
      <c r="Q176" s="2" t="s">
        <v>7</v>
      </c>
      <c r="R176" s="2" t="s">
        <v>17</v>
      </c>
      <c r="S176" s="2" t="s">
        <v>42</v>
      </c>
      <c r="T176" s="2" t="s">
        <v>15</v>
      </c>
      <c r="W176" s="4">
        <v>0</v>
      </c>
      <c r="X176" s="4">
        <v>0</v>
      </c>
      <c r="Y176" s="4">
        <v>0</v>
      </c>
      <c r="Z176" s="4">
        <f t="shared" si="2"/>
        <v>0</v>
      </c>
    </row>
    <row r="177" spans="1:26" ht="14.45" customHeight="1" x14ac:dyDescent="0.25">
      <c r="A177" s="2" t="s">
        <v>538</v>
      </c>
      <c r="B177" s="15" t="s">
        <v>539</v>
      </c>
      <c r="C177" s="3">
        <v>39455</v>
      </c>
      <c r="D177" s="2" t="s">
        <v>540</v>
      </c>
      <c r="E177" s="4" t="s">
        <v>91</v>
      </c>
      <c r="F177" s="2" t="s">
        <v>45</v>
      </c>
      <c r="N177" s="4" t="s">
        <v>9</v>
      </c>
      <c r="O177" s="4" t="s">
        <v>7</v>
      </c>
      <c r="P177" s="2" t="s">
        <v>25</v>
      </c>
      <c r="Q177" s="2" t="s">
        <v>17</v>
      </c>
      <c r="R177" s="2" t="s">
        <v>42</v>
      </c>
      <c r="S177" s="2" t="s">
        <v>24</v>
      </c>
      <c r="T177" s="2" t="s">
        <v>15</v>
      </c>
      <c r="W177" s="4">
        <v>0</v>
      </c>
      <c r="X177" s="4">
        <v>0</v>
      </c>
      <c r="Y177" s="4">
        <v>0</v>
      </c>
      <c r="Z177" s="4">
        <f t="shared" si="2"/>
        <v>0</v>
      </c>
    </row>
    <row r="178" spans="1:26" ht="14.45" customHeight="1" x14ac:dyDescent="0.25">
      <c r="A178" s="2" t="s">
        <v>807</v>
      </c>
      <c r="B178" s="15" t="s">
        <v>808</v>
      </c>
      <c r="C178" s="3">
        <v>39448</v>
      </c>
      <c r="D178" s="2" t="s">
        <v>809</v>
      </c>
      <c r="E178" s="4" t="s">
        <v>79</v>
      </c>
      <c r="F178" s="2" t="s">
        <v>21</v>
      </c>
      <c r="N178" s="4" t="s">
        <v>5</v>
      </c>
      <c r="O178" s="4" t="s">
        <v>7</v>
      </c>
      <c r="P178" s="2" t="s">
        <v>25</v>
      </c>
      <c r="Q178" s="2" t="s">
        <v>37</v>
      </c>
      <c r="R178" s="2" t="s">
        <v>7</v>
      </c>
      <c r="S178" s="2" t="s">
        <v>17</v>
      </c>
      <c r="W178" s="4">
        <v>0</v>
      </c>
      <c r="X178" s="4">
        <v>0</v>
      </c>
      <c r="Y178" s="4">
        <v>0</v>
      </c>
      <c r="Z178" s="4">
        <f t="shared" si="2"/>
        <v>0</v>
      </c>
    </row>
    <row r="179" spans="1:26" ht="14.45" customHeight="1" x14ac:dyDescent="0.25">
      <c r="A179" s="2" t="s">
        <v>388</v>
      </c>
      <c r="B179" s="15" t="s">
        <v>389</v>
      </c>
      <c r="C179" s="3">
        <v>39381</v>
      </c>
      <c r="D179" s="2" t="s">
        <v>390</v>
      </c>
      <c r="E179" s="4" t="s">
        <v>391</v>
      </c>
      <c r="F179" s="2" t="s">
        <v>56</v>
      </c>
      <c r="K179" s="2" t="s">
        <v>72</v>
      </c>
      <c r="L179" s="2" t="s">
        <v>62</v>
      </c>
      <c r="M179" s="2" t="s">
        <v>67</v>
      </c>
      <c r="N179" s="4" t="s">
        <v>5</v>
      </c>
      <c r="P179" s="2" t="s">
        <v>41</v>
      </c>
      <c r="Q179" s="2" t="s">
        <v>42</v>
      </c>
      <c r="R179" s="2" t="s">
        <v>34</v>
      </c>
      <c r="W179" s="4">
        <v>0.5</v>
      </c>
      <c r="X179" s="4">
        <v>0.5</v>
      </c>
      <c r="Y179" s="4">
        <v>0.5</v>
      </c>
      <c r="Z179" s="4">
        <f t="shared" si="2"/>
        <v>1.5</v>
      </c>
    </row>
    <row r="180" spans="1:26" ht="14.45" customHeight="1" x14ac:dyDescent="0.25">
      <c r="A180" s="2" t="s">
        <v>541</v>
      </c>
      <c r="B180" s="15" t="s">
        <v>542</v>
      </c>
      <c r="C180" s="3">
        <v>39359</v>
      </c>
      <c r="D180" s="2" t="s">
        <v>543</v>
      </c>
      <c r="E180" s="4" t="s">
        <v>259</v>
      </c>
      <c r="F180" s="2" t="s">
        <v>45</v>
      </c>
      <c r="K180" s="2" t="s">
        <v>68</v>
      </c>
      <c r="N180" s="4" t="s">
        <v>5</v>
      </c>
      <c r="P180" s="2" t="s">
        <v>25</v>
      </c>
      <c r="Q180" s="2" t="s">
        <v>42</v>
      </c>
      <c r="R180" s="2" t="s">
        <v>43</v>
      </c>
      <c r="W180" s="4">
        <v>0</v>
      </c>
      <c r="X180" s="4">
        <v>0</v>
      </c>
      <c r="Y180" s="4">
        <v>0.5</v>
      </c>
      <c r="Z180" s="4">
        <f t="shared" si="2"/>
        <v>0.5</v>
      </c>
    </row>
    <row r="181" spans="1:26" ht="14.45" customHeight="1" x14ac:dyDescent="0.25">
      <c r="A181" s="2" t="s">
        <v>544</v>
      </c>
      <c r="B181" s="15" t="s">
        <v>545</v>
      </c>
      <c r="C181" s="3">
        <v>39359</v>
      </c>
      <c r="D181" s="2" t="s">
        <v>546</v>
      </c>
      <c r="E181" s="4" t="s">
        <v>259</v>
      </c>
      <c r="F181" s="2" t="s">
        <v>45</v>
      </c>
      <c r="K181" s="2" t="s">
        <v>68</v>
      </c>
      <c r="N181" s="4" t="s">
        <v>5</v>
      </c>
      <c r="P181" s="2" t="s">
        <v>25</v>
      </c>
      <c r="Q181" s="2" t="s">
        <v>33</v>
      </c>
      <c r="R181" s="2" t="s">
        <v>43</v>
      </c>
      <c r="W181" s="4">
        <v>0</v>
      </c>
      <c r="X181" s="4">
        <v>0</v>
      </c>
      <c r="Y181" s="4">
        <v>0.5</v>
      </c>
      <c r="Z181" s="4">
        <f t="shared" si="2"/>
        <v>0.5</v>
      </c>
    </row>
    <row r="182" spans="1:26" ht="14.45" customHeight="1" x14ac:dyDescent="0.25">
      <c r="A182" s="2" t="s">
        <v>1079</v>
      </c>
      <c r="B182" s="15" t="s">
        <v>1080</v>
      </c>
      <c r="C182" s="3">
        <v>39351</v>
      </c>
      <c r="D182" s="2" t="s">
        <v>1081</v>
      </c>
      <c r="E182" s="4" t="s">
        <v>1078</v>
      </c>
      <c r="F182" s="2" t="s">
        <v>187</v>
      </c>
      <c r="K182" s="2" t="s">
        <v>72</v>
      </c>
      <c r="L182" s="2" t="s">
        <v>75</v>
      </c>
      <c r="N182" s="4" t="s">
        <v>5</v>
      </c>
      <c r="O182" s="4" t="s">
        <v>4</v>
      </c>
      <c r="P182" s="2" t="s">
        <v>25</v>
      </c>
      <c r="Q182" s="2" t="s">
        <v>16</v>
      </c>
      <c r="R182" s="2" t="s">
        <v>23</v>
      </c>
      <c r="W182" s="4">
        <v>0.5</v>
      </c>
      <c r="X182" s="4">
        <v>0.5</v>
      </c>
      <c r="Y182" s="4">
        <v>0</v>
      </c>
      <c r="Z182" s="4">
        <f t="shared" si="2"/>
        <v>1</v>
      </c>
    </row>
    <row r="183" spans="1:26" ht="14.45" customHeight="1" x14ac:dyDescent="0.25">
      <c r="A183" s="2" t="s">
        <v>811</v>
      </c>
      <c r="B183" s="15" t="s">
        <v>812</v>
      </c>
      <c r="C183" s="3">
        <v>39329</v>
      </c>
      <c r="D183" s="2" t="s">
        <v>813</v>
      </c>
      <c r="E183" s="4" t="s">
        <v>810</v>
      </c>
      <c r="F183" s="2" t="s">
        <v>21</v>
      </c>
      <c r="K183" s="2" t="s">
        <v>68</v>
      </c>
      <c r="L183" s="2" t="s">
        <v>74</v>
      </c>
      <c r="N183" s="4" t="s">
        <v>4</v>
      </c>
      <c r="O183" s="4" t="s">
        <v>5</v>
      </c>
      <c r="P183" s="2" t="s">
        <v>25</v>
      </c>
      <c r="Q183" s="2" t="s">
        <v>43</v>
      </c>
      <c r="R183" s="2" t="s">
        <v>19</v>
      </c>
      <c r="S183" s="2" t="s">
        <v>18</v>
      </c>
      <c r="W183" s="4">
        <v>0</v>
      </c>
      <c r="X183" s="4">
        <v>0.5</v>
      </c>
      <c r="Y183" s="4">
        <v>0.5</v>
      </c>
      <c r="Z183" s="4">
        <f t="shared" si="2"/>
        <v>1</v>
      </c>
    </row>
    <row r="184" spans="1:26" ht="14.45" customHeight="1" x14ac:dyDescent="0.25">
      <c r="A184" s="2" t="s">
        <v>268</v>
      </c>
      <c r="B184" s="6" t="s">
        <v>453</v>
      </c>
      <c r="C184" s="3">
        <v>39322</v>
      </c>
      <c r="D184" s="2" t="s">
        <v>269</v>
      </c>
      <c r="E184" s="4" t="s">
        <v>267</v>
      </c>
      <c r="F184" s="2" t="s">
        <v>54</v>
      </c>
      <c r="G184" s="2" t="s">
        <v>56</v>
      </c>
      <c r="H184" s="2" t="s">
        <v>1032</v>
      </c>
      <c r="K184" s="2" t="s">
        <v>72</v>
      </c>
      <c r="L184" s="2" t="s">
        <v>67</v>
      </c>
      <c r="M184" s="2" t="s">
        <v>75</v>
      </c>
      <c r="N184" s="4" t="s">
        <v>4</v>
      </c>
      <c r="O184" s="4" t="s">
        <v>5</v>
      </c>
      <c r="P184" s="2" t="s">
        <v>40</v>
      </c>
      <c r="Q184" s="2" t="s">
        <v>33</v>
      </c>
      <c r="R184" s="2" t="s">
        <v>46</v>
      </c>
      <c r="S184" s="2" t="s">
        <v>18</v>
      </c>
      <c r="T184" s="2" t="s">
        <v>21</v>
      </c>
      <c r="W184" s="4">
        <v>0.5</v>
      </c>
      <c r="X184" s="4">
        <v>1</v>
      </c>
      <c r="Y184" s="4">
        <v>0.5</v>
      </c>
      <c r="Z184" s="4">
        <f t="shared" si="2"/>
        <v>2</v>
      </c>
    </row>
    <row r="185" spans="1:26" ht="14.45" customHeight="1" x14ac:dyDescent="0.25">
      <c r="A185" s="2" t="s">
        <v>550</v>
      </c>
      <c r="B185" s="6" t="s">
        <v>551</v>
      </c>
      <c r="C185" s="3">
        <v>39321</v>
      </c>
      <c r="D185" s="2" t="s">
        <v>552</v>
      </c>
      <c r="E185" s="4" t="s">
        <v>314</v>
      </c>
      <c r="F185" s="2" t="s">
        <v>45</v>
      </c>
      <c r="K185" s="2" t="s">
        <v>72</v>
      </c>
      <c r="L185" s="2" t="s">
        <v>67</v>
      </c>
      <c r="N185" s="4" t="s">
        <v>5</v>
      </c>
      <c r="P185" s="2" t="s">
        <v>40</v>
      </c>
      <c r="Q185" s="2" t="s">
        <v>34</v>
      </c>
      <c r="W185" s="4">
        <v>0</v>
      </c>
      <c r="X185" s="4">
        <v>0.5</v>
      </c>
      <c r="Y185" s="4">
        <v>0.5</v>
      </c>
      <c r="Z185" s="4">
        <f t="shared" si="2"/>
        <v>1</v>
      </c>
    </row>
    <row r="186" spans="1:26" ht="14.45" customHeight="1" x14ac:dyDescent="0.25">
      <c r="A186" s="2" t="s">
        <v>814</v>
      </c>
      <c r="B186" s="6" t="s">
        <v>815</v>
      </c>
      <c r="C186" s="3">
        <v>39321</v>
      </c>
      <c r="D186" s="2" t="s">
        <v>816</v>
      </c>
      <c r="E186" s="4" t="s">
        <v>314</v>
      </c>
      <c r="F186" s="2" t="s">
        <v>21</v>
      </c>
      <c r="K186" s="2" t="s">
        <v>67</v>
      </c>
      <c r="L186" s="2" t="s">
        <v>72</v>
      </c>
      <c r="N186" s="4" t="s">
        <v>4</v>
      </c>
      <c r="O186" s="4" t="s">
        <v>5</v>
      </c>
      <c r="P186" s="2" t="s">
        <v>40</v>
      </c>
      <c r="Q186" s="2" t="s">
        <v>33</v>
      </c>
      <c r="R186" s="2" t="s">
        <v>46</v>
      </c>
      <c r="W186" s="4">
        <v>0</v>
      </c>
      <c r="X186" s="4">
        <v>0.5</v>
      </c>
      <c r="Y186" s="4">
        <v>0.5</v>
      </c>
      <c r="Z186" s="4">
        <f t="shared" si="2"/>
        <v>1</v>
      </c>
    </row>
    <row r="187" spans="1:26" ht="14.45" customHeight="1" x14ac:dyDescent="0.25">
      <c r="A187" s="2" t="s">
        <v>547</v>
      </c>
      <c r="B187" s="6" t="s">
        <v>548</v>
      </c>
      <c r="C187" s="3">
        <v>39321</v>
      </c>
      <c r="D187" s="2" t="s">
        <v>549</v>
      </c>
      <c r="E187" s="4" t="s">
        <v>314</v>
      </c>
      <c r="F187" s="2" t="s">
        <v>45</v>
      </c>
      <c r="G187" s="2" t="s">
        <v>21</v>
      </c>
      <c r="K187" s="2" t="s">
        <v>72</v>
      </c>
      <c r="N187" s="4" t="s">
        <v>5</v>
      </c>
      <c r="P187" s="2" t="s">
        <v>40</v>
      </c>
      <c r="W187" s="4">
        <v>0</v>
      </c>
      <c r="X187" s="4">
        <v>0.5</v>
      </c>
      <c r="Y187" s="4">
        <v>0</v>
      </c>
      <c r="Z187" s="4">
        <f t="shared" si="2"/>
        <v>0.5</v>
      </c>
    </row>
    <row r="188" spans="1:26" ht="14.45" customHeight="1" x14ac:dyDescent="0.25">
      <c r="A188" s="2" t="s">
        <v>1085</v>
      </c>
      <c r="B188" s="6" t="s">
        <v>1086</v>
      </c>
      <c r="C188" s="3">
        <v>39310</v>
      </c>
      <c r="D188" s="2" t="s">
        <v>1087</v>
      </c>
      <c r="E188" s="4" t="s">
        <v>394</v>
      </c>
      <c r="F188" s="2" t="s">
        <v>187</v>
      </c>
      <c r="K188" s="2" t="s">
        <v>65</v>
      </c>
      <c r="L188" s="2" t="s">
        <v>73</v>
      </c>
      <c r="M188" s="2" t="s">
        <v>72</v>
      </c>
      <c r="N188" s="4" t="s">
        <v>5</v>
      </c>
      <c r="O188" s="4" t="s">
        <v>8</v>
      </c>
      <c r="P188" s="2" t="s">
        <v>25</v>
      </c>
      <c r="Q188" s="2" t="s">
        <v>40</v>
      </c>
      <c r="R188" s="2" t="s">
        <v>38</v>
      </c>
      <c r="S188" s="2" t="s">
        <v>22</v>
      </c>
      <c r="T188" s="2" t="s">
        <v>20</v>
      </c>
      <c r="W188" s="4">
        <v>0.5</v>
      </c>
      <c r="X188" s="4">
        <v>1</v>
      </c>
      <c r="Y188" s="4">
        <v>0.5</v>
      </c>
      <c r="Z188" s="4">
        <f t="shared" si="2"/>
        <v>2</v>
      </c>
    </row>
    <row r="189" spans="1:26" ht="14.45" customHeight="1" x14ac:dyDescent="0.25">
      <c r="A189" s="2" t="s">
        <v>151</v>
      </c>
      <c r="B189" s="5" t="s">
        <v>152</v>
      </c>
      <c r="C189" s="3">
        <v>39310</v>
      </c>
      <c r="D189" s="2" t="s">
        <v>150</v>
      </c>
      <c r="E189" s="4" t="s">
        <v>149</v>
      </c>
      <c r="F189" s="2" t="s">
        <v>55</v>
      </c>
      <c r="G189" s="2" t="s">
        <v>21</v>
      </c>
      <c r="K189" s="2" t="s">
        <v>63</v>
      </c>
      <c r="L189" s="2" t="s">
        <v>72</v>
      </c>
      <c r="M189" s="2" t="s">
        <v>62</v>
      </c>
      <c r="N189" s="4" t="s">
        <v>4</v>
      </c>
      <c r="O189" s="4" t="s">
        <v>8</v>
      </c>
      <c r="P189" s="2" t="s">
        <v>23</v>
      </c>
      <c r="Q189" s="2" t="s">
        <v>18</v>
      </c>
      <c r="R189" s="2" t="s">
        <v>20</v>
      </c>
      <c r="W189" s="4">
        <v>0.5</v>
      </c>
      <c r="X189" s="4">
        <v>0.5</v>
      </c>
      <c r="Y189" s="4">
        <v>0</v>
      </c>
      <c r="Z189" s="4">
        <f t="shared" si="2"/>
        <v>1</v>
      </c>
    </row>
    <row r="190" spans="1:26" ht="14.45" customHeight="1" x14ac:dyDescent="0.25">
      <c r="A190" s="2" t="s">
        <v>154</v>
      </c>
      <c r="B190" s="5" t="s">
        <v>155</v>
      </c>
      <c r="C190" s="3">
        <v>39310</v>
      </c>
      <c r="D190" s="2" t="s">
        <v>156</v>
      </c>
      <c r="E190" s="4" t="s">
        <v>153</v>
      </c>
      <c r="F190" s="2" t="s">
        <v>55</v>
      </c>
      <c r="G190" s="2" t="s">
        <v>54</v>
      </c>
      <c r="K190" s="2" t="s">
        <v>65</v>
      </c>
      <c r="L190" s="2" t="s">
        <v>71</v>
      </c>
      <c r="N190" s="4" t="s">
        <v>4</v>
      </c>
      <c r="O190" s="4" t="s">
        <v>8</v>
      </c>
      <c r="P190" s="2" t="s">
        <v>25</v>
      </c>
      <c r="Q190" s="2" t="s">
        <v>32</v>
      </c>
      <c r="R190" s="2" t="s">
        <v>48</v>
      </c>
      <c r="S190" s="2" t="s">
        <v>20</v>
      </c>
      <c r="W190" s="4">
        <v>0.5</v>
      </c>
      <c r="X190" s="4">
        <v>0.5</v>
      </c>
      <c r="Y190" s="4">
        <v>0</v>
      </c>
      <c r="Z190" s="4">
        <f t="shared" si="2"/>
        <v>1</v>
      </c>
    </row>
    <row r="191" spans="1:26" ht="14.45" customHeight="1" x14ac:dyDescent="0.25">
      <c r="A191" s="2" t="s">
        <v>1082</v>
      </c>
      <c r="B191" s="6" t="s">
        <v>1083</v>
      </c>
      <c r="C191" s="3">
        <v>39310</v>
      </c>
      <c r="D191" s="2" t="s">
        <v>1084</v>
      </c>
      <c r="E191" s="4" t="s">
        <v>394</v>
      </c>
      <c r="F191" s="2" t="s">
        <v>187</v>
      </c>
      <c r="K191" s="2" t="s">
        <v>65</v>
      </c>
      <c r="L191" s="2" t="s">
        <v>73</v>
      </c>
      <c r="N191" s="4" t="s">
        <v>5</v>
      </c>
      <c r="P191" s="2" t="s">
        <v>25</v>
      </c>
      <c r="Q191" s="2" t="s">
        <v>45</v>
      </c>
      <c r="R191" s="2" t="s">
        <v>48</v>
      </c>
      <c r="S191" s="2" t="s">
        <v>18</v>
      </c>
      <c r="T191" s="2" t="s">
        <v>21</v>
      </c>
      <c r="W191" s="4">
        <v>0.5</v>
      </c>
      <c r="X191" s="4">
        <v>0</v>
      </c>
      <c r="Y191" s="4">
        <v>0.5</v>
      </c>
      <c r="Z191" s="4">
        <f t="shared" si="2"/>
        <v>1</v>
      </c>
    </row>
    <row r="192" spans="1:26" ht="14.45" customHeight="1" x14ac:dyDescent="0.25">
      <c r="A192" s="2" t="s">
        <v>392</v>
      </c>
      <c r="B192" s="15" t="s">
        <v>459</v>
      </c>
      <c r="C192" s="3">
        <v>39310</v>
      </c>
      <c r="D192" s="2" t="s">
        <v>393</v>
      </c>
      <c r="E192" s="4" t="s">
        <v>394</v>
      </c>
      <c r="F192" s="2" t="s">
        <v>56</v>
      </c>
      <c r="G192" s="2" t="s">
        <v>187</v>
      </c>
      <c r="K192" s="2" t="s">
        <v>65</v>
      </c>
      <c r="N192" s="4" t="s">
        <v>5</v>
      </c>
      <c r="P192" s="2" t="s">
        <v>25</v>
      </c>
      <c r="Q192" s="2" t="s">
        <v>48</v>
      </c>
      <c r="R192" s="2" t="s">
        <v>20</v>
      </c>
      <c r="W192" s="4">
        <v>0.5</v>
      </c>
      <c r="X192" s="4">
        <v>0</v>
      </c>
      <c r="Y192" s="4">
        <v>0</v>
      </c>
      <c r="Z192" s="4">
        <f t="shared" si="2"/>
        <v>0.5</v>
      </c>
    </row>
    <row r="193" spans="1:27" ht="14.45" customHeight="1" x14ac:dyDescent="0.25">
      <c r="A193" s="2" t="s">
        <v>817</v>
      </c>
      <c r="B193" s="6" t="s">
        <v>818</v>
      </c>
      <c r="C193" s="3">
        <v>39310</v>
      </c>
      <c r="D193" s="2" t="s">
        <v>819</v>
      </c>
      <c r="E193" s="4" t="s">
        <v>487</v>
      </c>
      <c r="F193" s="2" t="s">
        <v>21</v>
      </c>
      <c r="N193" s="4" t="s">
        <v>7</v>
      </c>
      <c r="O193" s="4" t="s">
        <v>8</v>
      </c>
      <c r="P193" s="2" t="s">
        <v>25</v>
      </c>
      <c r="Q193" s="2" t="s">
        <v>7</v>
      </c>
      <c r="R193" s="2" t="s">
        <v>17</v>
      </c>
      <c r="S193" s="2" t="s">
        <v>24</v>
      </c>
      <c r="T193" s="2" t="s">
        <v>26</v>
      </c>
      <c r="W193" s="4">
        <v>0</v>
      </c>
      <c r="X193" s="4">
        <v>0</v>
      </c>
      <c r="Y193" s="4">
        <v>0</v>
      </c>
      <c r="Z193" s="4">
        <f t="shared" si="2"/>
        <v>0</v>
      </c>
    </row>
    <row r="194" spans="1:27" ht="14.45" customHeight="1" x14ac:dyDescent="0.25">
      <c r="A194" s="2" t="s">
        <v>401</v>
      </c>
      <c r="B194" s="15" t="s">
        <v>402</v>
      </c>
      <c r="C194" s="3">
        <v>39309</v>
      </c>
      <c r="D194" s="2" t="s">
        <v>403</v>
      </c>
      <c r="E194" s="4" t="s">
        <v>404</v>
      </c>
      <c r="F194" s="2" t="s">
        <v>56</v>
      </c>
      <c r="K194" s="2" t="s">
        <v>69</v>
      </c>
      <c r="L194" s="2" t="s">
        <v>73</v>
      </c>
      <c r="M194" s="2" t="s">
        <v>75</v>
      </c>
      <c r="N194" s="4" t="s">
        <v>4</v>
      </c>
      <c r="P194" s="2" t="s">
        <v>25</v>
      </c>
      <c r="Q194" s="2" t="s">
        <v>40</v>
      </c>
      <c r="R194" s="2" t="s">
        <v>38</v>
      </c>
      <c r="S194" s="2" t="s">
        <v>22</v>
      </c>
      <c r="W194" s="4">
        <v>0.5</v>
      </c>
      <c r="X194" s="4">
        <v>0.5</v>
      </c>
      <c r="Y194" s="4">
        <v>1</v>
      </c>
      <c r="Z194" s="4">
        <f t="shared" si="2"/>
        <v>2</v>
      </c>
    </row>
    <row r="195" spans="1:27" ht="14.45" customHeight="1" x14ac:dyDescent="0.25">
      <c r="A195" s="2" t="s">
        <v>554</v>
      </c>
      <c r="B195" s="6" t="s">
        <v>555</v>
      </c>
      <c r="C195" s="3">
        <v>39309</v>
      </c>
      <c r="D195" s="2" t="s">
        <v>556</v>
      </c>
      <c r="E195" s="4" t="s">
        <v>553</v>
      </c>
      <c r="F195" s="2" t="s">
        <v>45</v>
      </c>
      <c r="K195" s="2" t="s">
        <v>73</v>
      </c>
      <c r="L195" s="2" t="s">
        <v>68</v>
      </c>
      <c r="M195" s="2" t="s">
        <v>72</v>
      </c>
      <c r="N195" s="4" t="s">
        <v>5</v>
      </c>
      <c r="O195" s="4" t="s">
        <v>8</v>
      </c>
      <c r="P195" s="2" t="s">
        <v>25</v>
      </c>
      <c r="Q195" s="2" t="s">
        <v>13</v>
      </c>
      <c r="R195" s="2" t="s">
        <v>43</v>
      </c>
      <c r="S195" s="2" t="s">
        <v>45</v>
      </c>
      <c r="T195" s="2" t="s">
        <v>22</v>
      </c>
      <c r="W195" s="4">
        <v>0</v>
      </c>
      <c r="X195" s="4">
        <v>0.5</v>
      </c>
      <c r="Y195" s="4">
        <v>0.5</v>
      </c>
      <c r="Z195" s="4">
        <f t="shared" si="2"/>
        <v>1</v>
      </c>
    </row>
    <row r="196" spans="1:27" ht="14.45" customHeight="1" x14ac:dyDescent="0.25">
      <c r="A196" s="2" t="s">
        <v>273</v>
      </c>
      <c r="B196" s="6" t="s">
        <v>455</v>
      </c>
      <c r="C196" s="3">
        <v>39309</v>
      </c>
      <c r="D196" s="2" t="s">
        <v>274</v>
      </c>
      <c r="E196" s="4" t="s">
        <v>253</v>
      </c>
      <c r="F196" s="2" t="s">
        <v>54</v>
      </c>
      <c r="G196" s="2" t="s">
        <v>56</v>
      </c>
      <c r="H196" s="2" t="s">
        <v>45</v>
      </c>
      <c r="I196" s="2" t="s">
        <v>21</v>
      </c>
      <c r="K196" s="2" t="s">
        <v>75</v>
      </c>
      <c r="L196" s="2" t="s">
        <v>69</v>
      </c>
      <c r="M196" s="2" t="s">
        <v>73</v>
      </c>
      <c r="N196" s="4" t="s">
        <v>4</v>
      </c>
      <c r="P196" s="2" t="s">
        <v>13</v>
      </c>
      <c r="Q196" s="2" t="s">
        <v>16</v>
      </c>
      <c r="R196" s="2" t="s">
        <v>38</v>
      </c>
      <c r="S196" s="2" t="s">
        <v>45</v>
      </c>
      <c r="W196" s="4">
        <v>0.5</v>
      </c>
      <c r="X196" s="4">
        <v>0</v>
      </c>
      <c r="Y196" s="4">
        <v>0.5</v>
      </c>
      <c r="Z196" s="4">
        <f t="shared" si="2"/>
        <v>1</v>
      </c>
    </row>
    <row r="197" spans="1:27" ht="14.45" customHeight="1" x14ac:dyDescent="0.25">
      <c r="A197" s="2" t="s">
        <v>823</v>
      </c>
      <c r="B197" s="15" t="s">
        <v>824</v>
      </c>
      <c r="C197" s="3">
        <v>39309</v>
      </c>
      <c r="D197" s="2" t="s">
        <v>825</v>
      </c>
      <c r="E197" s="4" t="s">
        <v>253</v>
      </c>
      <c r="F197" s="2" t="s">
        <v>21</v>
      </c>
      <c r="K197" s="2" t="s">
        <v>581</v>
      </c>
      <c r="L197" s="2" t="s">
        <v>75</v>
      </c>
      <c r="N197" s="4" t="s">
        <v>4</v>
      </c>
      <c r="O197" s="4" t="s">
        <v>5</v>
      </c>
      <c r="P197" s="2" t="s">
        <v>40</v>
      </c>
      <c r="Q197" s="2" t="s">
        <v>13</v>
      </c>
      <c r="R197" s="2" t="s">
        <v>38</v>
      </c>
      <c r="S197" s="2" t="s">
        <v>45</v>
      </c>
      <c r="T197" s="2" t="s">
        <v>21</v>
      </c>
      <c r="W197" s="4">
        <v>1</v>
      </c>
      <c r="X197" s="4">
        <v>0</v>
      </c>
      <c r="Y197" s="4">
        <v>0</v>
      </c>
      <c r="Z197" s="4">
        <f t="shared" ref="Z197:Z260" si="3">SUM(W197:Y197)</f>
        <v>1</v>
      </c>
    </row>
    <row r="198" spans="1:27" ht="14.45" customHeight="1" x14ac:dyDescent="0.25">
      <c r="A198" s="2" t="s">
        <v>398</v>
      </c>
      <c r="B198" s="15" t="s">
        <v>399</v>
      </c>
      <c r="C198" s="3">
        <v>39309</v>
      </c>
      <c r="D198" s="2" t="s">
        <v>400</v>
      </c>
      <c r="E198" s="4" t="s">
        <v>397</v>
      </c>
      <c r="F198" s="2" t="s">
        <v>56</v>
      </c>
      <c r="G198" s="2" t="s">
        <v>21</v>
      </c>
      <c r="K198" s="2" t="s">
        <v>67</v>
      </c>
      <c r="L198" s="2" t="s">
        <v>69</v>
      </c>
      <c r="N198" s="4" t="s">
        <v>4</v>
      </c>
      <c r="O198" s="4" t="s">
        <v>5</v>
      </c>
      <c r="P198" s="2" t="s">
        <v>25</v>
      </c>
      <c r="Q198" s="2" t="s">
        <v>38</v>
      </c>
      <c r="R198" s="2" t="s">
        <v>18</v>
      </c>
      <c r="W198" s="4">
        <v>0</v>
      </c>
      <c r="X198" s="4">
        <v>0</v>
      </c>
      <c r="Y198" s="4">
        <v>1</v>
      </c>
      <c r="Z198" s="4">
        <f t="shared" si="3"/>
        <v>1</v>
      </c>
    </row>
    <row r="199" spans="1:27" ht="14.45" customHeight="1" x14ac:dyDescent="0.25">
      <c r="A199" s="2" t="s">
        <v>271</v>
      </c>
      <c r="B199" s="6" t="s">
        <v>456</v>
      </c>
      <c r="C199" s="3">
        <v>39309</v>
      </c>
      <c r="D199" s="2" t="s">
        <v>272</v>
      </c>
      <c r="E199" s="4" t="s">
        <v>270</v>
      </c>
      <c r="F199" s="2" t="s">
        <v>54</v>
      </c>
      <c r="K199" s="2" t="s">
        <v>67</v>
      </c>
      <c r="L199" s="2" t="s">
        <v>61</v>
      </c>
      <c r="N199" s="4" t="s">
        <v>4</v>
      </c>
      <c r="P199" s="2" t="s">
        <v>25</v>
      </c>
      <c r="Q199" s="2" t="s">
        <v>40</v>
      </c>
      <c r="R199" s="2" t="s">
        <v>38</v>
      </c>
      <c r="S199" s="2" t="s">
        <v>18</v>
      </c>
      <c r="W199" s="4">
        <v>0.5</v>
      </c>
      <c r="X199" s="4">
        <v>0</v>
      </c>
      <c r="Y199" s="4">
        <v>0.5</v>
      </c>
      <c r="Z199" s="4">
        <f t="shared" si="3"/>
        <v>1</v>
      </c>
    </row>
    <row r="200" spans="1:27" ht="14.45" customHeight="1" x14ac:dyDescent="0.25">
      <c r="A200" s="2" t="s">
        <v>405</v>
      </c>
      <c r="B200" s="15" t="s">
        <v>406</v>
      </c>
      <c r="C200" s="3">
        <v>39309</v>
      </c>
      <c r="D200" s="2" t="s">
        <v>407</v>
      </c>
      <c r="E200" s="4" t="s">
        <v>253</v>
      </c>
      <c r="F200" s="2" t="s">
        <v>56</v>
      </c>
      <c r="G200" s="2" t="s">
        <v>21</v>
      </c>
      <c r="K200" s="2" t="s">
        <v>72</v>
      </c>
      <c r="L200" s="2" t="s">
        <v>73</v>
      </c>
      <c r="N200" s="4" t="s">
        <v>4</v>
      </c>
      <c r="O200" s="4" t="s">
        <v>5</v>
      </c>
      <c r="P200" s="2" t="s">
        <v>25</v>
      </c>
      <c r="Q200" s="2" t="s">
        <v>13</v>
      </c>
      <c r="R200" s="2" t="s">
        <v>33</v>
      </c>
      <c r="S200" s="2" t="s">
        <v>38</v>
      </c>
      <c r="T200" s="2" t="s">
        <v>22</v>
      </c>
      <c r="W200" s="4">
        <v>0</v>
      </c>
      <c r="X200" s="4">
        <v>0.5</v>
      </c>
      <c r="Y200" s="4">
        <v>0.5</v>
      </c>
      <c r="Z200" s="4">
        <f t="shared" si="3"/>
        <v>1</v>
      </c>
    </row>
    <row r="201" spans="1:27" ht="14.45" customHeight="1" x14ac:dyDescent="0.25">
      <c r="A201" s="2" t="s">
        <v>395</v>
      </c>
      <c r="B201" s="15" t="s">
        <v>454</v>
      </c>
      <c r="C201" s="3">
        <v>39309</v>
      </c>
      <c r="D201" s="2" t="s">
        <v>396</v>
      </c>
      <c r="E201" s="4" t="s">
        <v>397</v>
      </c>
      <c r="F201" s="2" t="s">
        <v>56</v>
      </c>
      <c r="K201" s="2" t="s">
        <v>69</v>
      </c>
      <c r="N201" s="4" t="s">
        <v>4</v>
      </c>
      <c r="O201" s="4" t="s">
        <v>5</v>
      </c>
      <c r="P201" s="2" t="s">
        <v>38</v>
      </c>
      <c r="Q201" s="2" t="s">
        <v>43</v>
      </c>
      <c r="R201" s="2" t="s">
        <v>44</v>
      </c>
      <c r="S201" s="2" t="s">
        <v>19</v>
      </c>
      <c r="T201" s="2" t="s">
        <v>45</v>
      </c>
      <c r="W201" s="4">
        <v>0</v>
      </c>
      <c r="X201" s="4">
        <v>0</v>
      </c>
      <c r="Y201" s="4">
        <v>0.5</v>
      </c>
      <c r="Z201" s="4">
        <f t="shared" si="3"/>
        <v>0.5</v>
      </c>
    </row>
    <row r="202" spans="1:27" ht="14.45" customHeight="1" x14ac:dyDescent="0.25">
      <c r="A202" s="2" t="s">
        <v>820</v>
      </c>
      <c r="B202" s="15" t="s">
        <v>821</v>
      </c>
      <c r="C202" s="3">
        <v>39309</v>
      </c>
      <c r="D202" s="2" t="s">
        <v>822</v>
      </c>
      <c r="E202" s="4" t="s">
        <v>253</v>
      </c>
      <c r="F202" s="2" t="s">
        <v>21</v>
      </c>
      <c r="N202" s="4" t="s">
        <v>5</v>
      </c>
      <c r="O202" s="4" t="s">
        <v>6</v>
      </c>
      <c r="P202" s="2" t="s">
        <v>25</v>
      </c>
      <c r="Q202" s="2" t="s">
        <v>40</v>
      </c>
      <c r="R202" s="2" t="s">
        <v>13</v>
      </c>
      <c r="W202" s="4">
        <v>0</v>
      </c>
      <c r="X202" s="4">
        <v>0</v>
      </c>
      <c r="Y202" s="4">
        <v>0</v>
      </c>
      <c r="Z202" s="4">
        <f t="shared" si="3"/>
        <v>0</v>
      </c>
    </row>
    <row r="203" spans="1:27" ht="14.45" customHeight="1" x14ac:dyDescent="0.25">
      <c r="A203" s="2" t="s">
        <v>408</v>
      </c>
      <c r="B203" s="6" t="s">
        <v>452</v>
      </c>
      <c r="C203" s="3">
        <v>39308</v>
      </c>
      <c r="D203" s="2" t="s">
        <v>409</v>
      </c>
      <c r="E203" s="4" t="s">
        <v>275</v>
      </c>
      <c r="F203" s="2" t="s">
        <v>56</v>
      </c>
      <c r="K203" s="2" t="s">
        <v>72</v>
      </c>
      <c r="L203" s="2" t="s">
        <v>71</v>
      </c>
      <c r="N203" s="4" t="s">
        <v>5</v>
      </c>
      <c r="P203" s="2" t="s">
        <v>25</v>
      </c>
      <c r="Q203" s="2" t="s">
        <v>40</v>
      </c>
      <c r="R203" s="2" t="s">
        <v>13</v>
      </c>
      <c r="S203" s="2" t="s">
        <v>18</v>
      </c>
      <c r="W203" s="4">
        <v>0</v>
      </c>
      <c r="X203" s="4">
        <v>1</v>
      </c>
      <c r="Y203" s="4">
        <v>0.5</v>
      </c>
      <c r="Z203" s="4">
        <f t="shared" si="3"/>
        <v>1.5</v>
      </c>
    </row>
    <row r="204" spans="1:27" ht="14.45" customHeight="1" x14ac:dyDescent="0.25">
      <c r="A204" s="2" t="s">
        <v>831</v>
      </c>
      <c r="B204" s="6" t="s">
        <v>832</v>
      </c>
      <c r="C204" s="3">
        <v>39308</v>
      </c>
      <c r="D204" s="2" t="s">
        <v>833</v>
      </c>
      <c r="E204" s="4" t="s">
        <v>210</v>
      </c>
      <c r="F204" s="2" t="s">
        <v>21</v>
      </c>
      <c r="K204" s="2" t="s">
        <v>68</v>
      </c>
      <c r="L204" s="2" t="s">
        <v>67</v>
      </c>
      <c r="M204" s="2" t="s">
        <v>75</v>
      </c>
      <c r="N204" s="4" t="s">
        <v>5</v>
      </c>
      <c r="O204" s="4" t="s">
        <v>8</v>
      </c>
      <c r="P204" s="2" t="s">
        <v>25</v>
      </c>
      <c r="Q204" s="2" t="s">
        <v>36</v>
      </c>
      <c r="R204" s="2" t="s">
        <v>33</v>
      </c>
      <c r="S204" s="2" t="s">
        <v>43</v>
      </c>
      <c r="T204" s="2" t="s">
        <v>19</v>
      </c>
      <c r="W204" s="4">
        <v>0.5</v>
      </c>
      <c r="X204" s="4">
        <v>0</v>
      </c>
      <c r="Y204" s="4">
        <v>0.5</v>
      </c>
      <c r="Z204" s="4">
        <f t="shared" si="3"/>
        <v>1</v>
      </c>
      <c r="AA204" s="17"/>
    </row>
    <row r="205" spans="1:27" ht="14.45" customHeight="1" x14ac:dyDescent="0.25">
      <c r="A205" s="2" t="s">
        <v>412</v>
      </c>
      <c r="B205" s="6" t="s">
        <v>449</v>
      </c>
      <c r="C205" s="3">
        <v>39308</v>
      </c>
      <c r="D205" s="2" t="s">
        <v>413</v>
      </c>
      <c r="E205" s="4" t="s">
        <v>361</v>
      </c>
      <c r="F205" s="2" t="s">
        <v>56</v>
      </c>
      <c r="K205" s="2" t="s">
        <v>73</v>
      </c>
      <c r="L205" s="2" t="s">
        <v>72</v>
      </c>
      <c r="M205" s="2" t="s">
        <v>69</v>
      </c>
      <c r="N205" s="4" t="s">
        <v>5</v>
      </c>
      <c r="P205" s="2" t="s">
        <v>25</v>
      </c>
      <c r="Q205" s="2" t="s">
        <v>40</v>
      </c>
      <c r="R205" s="2" t="s">
        <v>38</v>
      </c>
      <c r="S205" s="2" t="s">
        <v>22</v>
      </c>
      <c r="W205" s="4">
        <v>0</v>
      </c>
      <c r="X205" s="4">
        <v>0.5</v>
      </c>
      <c r="Y205" s="4">
        <v>0.5</v>
      </c>
      <c r="Z205" s="4">
        <f t="shared" si="3"/>
        <v>1</v>
      </c>
    </row>
    <row r="206" spans="1:27" ht="14.45" customHeight="1" x14ac:dyDescent="0.25">
      <c r="A206" s="2" t="s">
        <v>1147</v>
      </c>
      <c r="B206" s="6" t="s">
        <v>1148</v>
      </c>
      <c r="C206" s="3">
        <v>39308</v>
      </c>
      <c r="D206" s="2" t="s">
        <v>1149</v>
      </c>
      <c r="E206" s="4" t="s">
        <v>559</v>
      </c>
      <c r="F206" s="2" t="s">
        <v>1032</v>
      </c>
      <c r="K206" s="2" t="s">
        <v>72</v>
      </c>
      <c r="N206" s="4" t="s">
        <v>4</v>
      </c>
      <c r="P206" s="2" t="s">
        <v>14</v>
      </c>
      <c r="Q206" s="2" t="s">
        <v>25</v>
      </c>
      <c r="R206" s="2" t="s">
        <v>40</v>
      </c>
      <c r="S206" s="2" t="s">
        <v>13</v>
      </c>
      <c r="T206" s="2" t="s">
        <v>19</v>
      </c>
      <c r="W206" s="4">
        <v>0</v>
      </c>
      <c r="X206" s="4">
        <v>0.5</v>
      </c>
      <c r="Y206" s="4">
        <v>0</v>
      </c>
      <c r="Z206" s="4">
        <f t="shared" si="3"/>
        <v>0.5</v>
      </c>
    </row>
    <row r="207" spans="1:27" ht="14.45" customHeight="1" x14ac:dyDescent="0.25">
      <c r="A207" s="2" t="s">
        <v>1091</v>
      </c>
      <c r="B207" s="6" t="s">
        <v>1092</v>
      </c>
      <c r="C207" s="3">
        <v>39308</v>
      </c>
      <c r="D207" s="2" t="s">
        <v>1093</v>
      </c>
      <c r="E207" s="4" t="s">
        <v>417</v>
      </c>
      <c r="F207" s="2" t="s">
        <v>187</v>
      </c>
      <c r="K207" s="2" t="s">
        <v>62</v>
      </c>
      <c r="N207" s="4" t="s">
        <v>4</v>
      </c>
      <c r="O207" s="4" t="s">
        <v>5</v>
      </c>
      <c r="P207" s="2" t="s">
        <v>40</v>
      </c>
      <c r="Q207" s="2" t="s">
        <v>16</v>
      </c>
      <c r="W207" s="4">
        <v>0.5</v>
      </c>
      <c r="X207" s="4">
        <v>0</v>
      </c>
      <c r="Y207" s="4">
        <v>0</v>
      </c>
      <c r="Z207" s="4">
        <f t="shared" si="3"/>
        <v>0.5</v>
      </c>
    </row>
    <row r="208" spans="1:27" ht="14.45" customHeight="1" x14ac:dyDescent="0.25">
      <c r="A208" s="2" t="s">
        <v>1088</v>
      </c>
      <c r="B208" s="6" t="s">
        <v>1089</v>
      </c>
      <c r="C208" s="3">
        <v>39308</v>
      </c>
      <c r="D208" s="2" t="s">
        <v>1090</v>
      </c>
      <c r="E208" s="4" t="s">
        <v>829</v>
      </c>
      <c r="F208" s="2" t="s">
        <v>187</v>
      </c>
      <c r="K208" s="2" t="s">
        <v>68</v>
      </c>
      <c r="N208" s="4" t="s">
        <v>8</v>
      </c>
      <c r="O208" s="4" t="s">
        <v>5</v>
      </c>
      <c r="P208" s="2" t="s">
        <v>25</v>
      </c>
      <c r="Q208" s="2" t="s">
        <v>23</v>
      </c>
      <c r="R208" s="2" t="s">
        <v>43</v>
      </c>
      <c r="S208" s="2" t="s">
        <v>44</v>
      </c>
      <c r="W208" s="4">
        <v>0</v>
      </c>
      <c r="X208" s="4">
        <v>0</v>
      </c>
      <c r="Y208" s="4">
        <v>0.5</v>
      </c>
      <c r="Z208" s="4">
        <f t="shared" si="3"/>
        <v>0.5</v>
      </c>
    </row>
    <row r="209" spans="1:27" ht="13.9" customHeight="1" x14ac:dyDescent="0.25">
      <c r="A209" s="2" t="s">
        <v>826</v>
      </c>
      <c r="B209" s="6" t="s">
        <v>827</v>
      </c>
      <c r="C209" s="3">
        <v>39308</v>
      </c>
      <c r="D209" s="2" t="s">
        <v>828</v>
      </c>
      <c r="E209" s="4" t="s">
        <v>829</v>
      </c>
      <c r="F209" s="2" t="s">
        <v>21</v>
      </c>
      <c r="K209" s="2" t="s">
        <v>68</v>
      </c>
      <c r="N209" s="4" t="s">
        <v>4</v>
      </c>
      <c r="O209" s="4" t="s">
        <v>8</v>
      </c>
      <c r="P209" s="2" t="s">
        <v>16</v>
      </c>
      <c r="Q209" s="2" t="s">
        <v>23</v>
      </c>
      <c r="R209" s="2" t="s">
        <v>33</v>
      </c>
      <c r="S209" s="2" t="s">
        <v>43</v>
      </c>
      <c r="T209" s="2" t="s">
        <v>44</v>
      </c>
      <c r="W209" s="4">
        <v>0</v>
      </c>
      <c r="X209" s="4">
        <v>0</v>
      </c>
      <c r="Y209" s="4">
        <v>0.5</v>
      </c>
      <c r="Z209" s="4">
        <f t="shared" si="3"/>
        <v>0.5</v>
      </c>
      <c r="AA209" s="17" t="s">
        <v>830</v>
      </c>
    </row>
    <row r="210" spans="1:27" ht="14.45" customHeight="1" x14ac:dyDescent="0.25">
      <c r="A210" s="2" t="s">
        <v>557</v>
      </c>
      <c r="B210" s="15" t="s">
        <v>558</v>
      </c>
      <c r="C210" s="3">
        <v>39308</v>
      </c>
      <c r="D210" s="2" t="s">
        <v>560</v>
      </c>
      <c r="E210" s="4" t="s">
        <v>559</v>
      </c>
      <c r="F210" s="2" t="s">
        <v>45</v>
      </c>
      <c r="N210" s="4" t="s">
        <v>5</v>
      </c>
      <c r="P210" s="2" t="s">
        <v>25</v>
      </c>
      <c r="Q210" s="2" t="s">
        <v>40</v>
      </c>
      <c r="R210" s="2" t="s">
        <v>13</v>
      </c>
      <c r="S210" s="2" t="s">
        <v>18</v>
      </c>
      <c r="W210" s="4">
        <v>0</v>
      </c>
      <c r="X210" s="4">
        <v>0</v>
      </c>
      <c r="Y210" s="4">
        <v>0</v>
      </c>
      <c r="Z210" s="4">
        <f t="shared" si="3"/>
        <v>0</v>
      </c>
    </row>
    <row r="211" spans="1:27" ht="14.45" customHeight="1" x14ac:dyDescent="0.25">
      <c r="A211" s="2" t="s">
        <v>276</v>
      </c>
      <c r="B211" s="6" t="s">
        <v>458</v>
      </c>
      <c r="C211" s="3">
        <v>39308</v>
      </c>
      <c r="D211" s="2" t="s">
        <v>277</v>
      </c>
      <c r="E211" s="4" t="s">
        <v>275</v>
      </c>
      <c r="F211" s="2" t="s">
        <v>54</v>
      </c>
      <c r="N211" s="4" t="s">
        <v>4</v>
      </c>
      <c r="O211" s="4" t="s">
        <v>5</v>
      </c>
      <c r="P211" s="2" t="s">
        <v>25</v>
      </c>
      <c r="Q211" s="2" t="s">
        <v>40</v>
      </c>
      <c r="R211" s="2" t="s">
        <v>13</v>
      </c>
      <c r="W211" s="4">
        <v>0</v>
      </c>
      <c r="X211" s="4">
        <v>0</v>
      </c>
      <c r="Y211" s="4">
        <v>0</v>
      </c>
      <c r="Z211" s="4">
        <f t="shared" si="3"/>
        <v>0</v>
      </c>
    </row>
    <row r="212" spans="1:27" ht="14.45" customHeight="1" x14ac:dyDescent="0.25">
      <c r="A212" s="2" t="s">
        <v>411</v>
      </c>
      <c r="B212" s="6" t="s">
        <v>457</v>
      </c>
      <c r="C212" s="3">
        <v>39308</v>
      </c>
      <c r="D212" s="2" t="s">
        <v>410</v>
      </c>
      <c r="E212" s="4" t="s">
        <v>275</v>
      </c>
      <c r="F212" s="2" t="s">
        <v>56</v>
      </c>
      <c r="N212" s="4" t="s">
        <v>4</v>
      </c>
      <c r="P212" s="2" t="s">
        <v>14</v>
      </c>
      <c r="Q212" s="2" t="s">
        <v>23</v>
      </c>
      <c r="R212" s="2" t="s">
        <v>38</v>
      </c>
      <c r="S212" s="2" t="s">
        <v>46</v>
      </c>
      <c r="W212" s="4">
        <v>0</v>
      </c>
      <c r="X212" s="4">
        <v>0</v>
      </c>
      <c r="Y212" s="4">
        <v>0</v>
      </c>
      <c r="Z212" s="4">
        <f t="shared" si="3"/>
        <v>0</v>
      </c>
    </row>
    <row r="213" spans="1:27" ht="14.45" customHeight="1" x14ac:dyDescent="0.25">
      <c r="A213" s="2" t="s">
        <v>561</v>
      </c>
      <c r="B213" s="15" t="s">
        <v>562</v>
      </c>
      <c r="C213" s="3">
        <v>39308</v>
      </c>
      <c r="D213" s="2" t="s">
        <v>563</v>
      </c>
      <c r="E213" s="4" t="s">
        <v>487</v>
      </c>
      <c r="F213" s="2" t="s">
        <v>45</v>
      </c>
      <c r="G213" s="2" t="s">
        <v>21</v>
      </c>
      <c r="N213" s="4" t="s">
        <v>9</v>
      </c>
      <c r="O213" s="4" t="s">
        <v>8</v>
      </c>
      <c r="P213" s="2" t="s">
        <v>25</v>
      </c>
      <c r="Q213" s="2" t="s">
        <v>7</v>
      </c>
      <c r="R213" s="2" t="s">
        <v>17</v>
      </c>
      <c r="S213" s="2" t="s">
        <v>38</v>
      </c>
      <c r="T213" s="2" t="s">
        <v>26</v>
      </c>
      <c r="W213" s="4">
        <v>0</v>
      </c>
      <c r="X213" s="4">
        <v>0</v>
      </c>
      <c r="Y213" s="4">
        <v>0</v>
      </c>
      <c r="Z213" s="4">
        <f t="shared" si="3"/>
        <v>0</v>
      </c>
    </row>
    <row r="214" spans="1:27" ht="14.45" customHeight="1" x14ac:dyDescent="0.25">
      <c r="A214" s="2" t="s">
        <v>157</v>
      </c>
      <c r="B214" s="5" t="s">
        <v>158</v>
      </c>
      <c r="C214" s="3">
        <v>39306</v>
      </c>
      <c r="D214" s="4" t="s">
        <v>159</v>
      </c>
      <c r="E214" s="4" t="s">
        <v>160</v>
      </c>
      <c r="F214" s="2" t="s">
        <v>55</v>
      </c>
      <c r="G214" s="2" t="s">
        <v>54</v>
      </c>
      <c r="H214" s="2" t="s">
        <v>56</v>
      </c>
      <c r="I214" s="2" t="s">
        <v>1032</v>
      </c>
      <c r="K214" s="2" t="s">
        <v>59</v>
      </c>
      <c r="N214" s="4" t="s">
        <v>4</v>
      </c>
      <c r="P214" s="2" t="s">
        <v>25</v>
      </c>
      <c r="Q214" s="2" t="s">
        <v>40</v>
      </c>
      <c r="R214" s="2" t="s">
        <v>18</v>
      </c>
      <c r="S214" s="2" t="s">
        <v>21</v>
      </c>
      <c r="W214" s="4">
        <v>0.5</v>
      </c>
      <c r="X214" s="4">
        <v>0.5</v>
      </c>
      <c r="Y214" s="4">
        <v>0.5</v>
      </c>
      <c r="Z214" s="4">
        <f t="shared" si="3"/>
        <v>1.5</v>
      </c>
    </row>
    <row r="215" spans="1:27" ht="14.45" customHeight="1" x14ac:dyDescent="0.25">
      <c r="A215" s="2" t="s">
        <v>834</v>
      </c>
      <c r="B215" s="15" t="s">
        <v>835</v>
      </c>
      <c r="C215" s="3">
        <v>39306</v>
      </c>
      <c r="D215" s="2" t="s">
        <v>836</v>
      </c>
      <c r="E215" s="4" t="s">
        <v>112</v>
      </c>
      <c r="F215" s="2" t="s">
        <v>21</v>
      </c>
      <c r="K215" s="2" t="s">
        <v>68</v>
      </c>
      <c r="L215" s="2" t="s">
        <v>67</v>
      </c>
      <c r="N215" s="4" t="s">
        <v>5</v>
      </c>
      <c r="O215" s="4" t="s">
        <v>8</v>
      </c>
      <c r="P215" s="2" t="s">
        <v>25</v>
      </c>
      <c r="Q215" s="2" t="s">
        <v>36</v>
      </c>
      <c r="R215" s="2" t="s">
        <v>41</v>
      </c>
      <c r="S215" s="2" t="s">
        <v>33</v>
      </c>
      <c r="T215" s="2" t="s">
        <v>43</v>
      </c>
      <c r="U215" s="2" t="s">
        <v>46</v>
      </c>
      <c r="W215" s="4">
        <v>0</v>
      </c>
      <c r="X215" s="4">
        <v>0</v>
      </c>
      <c r="Y215" s="4">
        <v>0.5</v>
      </c>
      <c r="Z215" s="4">
        <f t="shared" si="3"/>
        <v>0.5</v>
      </c>
    </row>
    <row r="216" spans="1:27" ht="14.45" customHeight="1" x14ac:dyDescent="0.25">
      <c r="A216" s="2" t="s">
        <v>840</v>
      </c>
      <c r="B216" s="15" t="s">
        <v>841</v>
      </c>
      <c r="C216" s="3">
        <v>39306</v>
      </c>
      <c r="D216" s="2" t="s">
        <v>842</v>
      </c>
      <c r="E216" s="4" t="s">
        <v>112</v>
      </c>
      <c r="F216" s="2" t="s">
        <v>21</v>
      </c>
      <c r="K216" s="2" t="s">
        <v>68</v>
      </c>
      <c r="L216" s="2" t="s">
        <v>69</v>
      </c>
      <c r="N216" s="4" t="s">
        <v>5</v>
      </c>
      <c r="O216" s="4" t="s">
        <v>8</v>
      </c>
      <c r="P216" s="2" t="s">
        <v>25</v>
      </c>
      <c r="Q216" s="2" t="s">
        <v>36</v>
      </c>
      <c r="R216" s="2" t="s">
        <v>17</v>
      </c>
      <c r="S216" s="2" t="s">
        <v>43</v>
      </c>
      <c r="W216" s="4">
        <v>0</v>
      </c>
      <c r="X216" s="4">
        <v>0</v>
      </c>
      <c r="Y216" s="4">
        <v>0.5</v>
      </c>
      <c r="Z216" s="4">
        <f t="shared" si="3"/>
        <v>0.5</v>
      </c>
    </row>
    <row r="217" spans="1:27" ht="14.45" customHeight="1" x14ac:dyDescent="0.25">
      <c r="A217" s="2" t="s">
        <v>283</v>
      </c>
      <c r="B217" s="6" t="s">
        <v>451</v>
      </c>
      <c r="C217" s="3">
        <v>39306</v>
      </c>
      <c r="D217" s="2" t="s">
        <v>284</v>
      </c>
      <c r="E217" s="4" t="s">
        <v>160</v>
      </c>
      <c r="F217" s="2" t="s">
        <v>54</v>
      </c>
      <c r="K217" s="2" t="s">
        <v>69</v>
      </c>
      <c r="N217" s="4" t="s">
        <v>6</v>
      </c>
      <c r="P217" s="2" t="s">
        <v>25</v>
      </c>
      <c r="Q217" s="2" t="s">
        <v>40</v>
      </c>
      <c r="R217" s="2" t="s">
        <v>7</v>
      </c>
      <c r="S217" s="2" t="s">
        <v>17</v>
      </c>
      <c r="T217" s="2" t="s">
        <v>38</v>
      </c>
      <c r="W217" s="4">
        <v>0</v>
      </c>
      <c r="X217" s="4">
        <v>0</v>
      </c>
      <c r="Y217" s="4">
        <v>0.5</v>
      </c>
      <c r="Z217" s="4">
        <f t="shared" si="3"/>
        <v>0.5</v>
      </c>
    </row>
    <row r="218" spans="1:27" ht="14.45" customHeight="1" x14ac:dyDescent="0.25">
      <c r="A218" s="2" t="s">
        <v>837</v>
      </c>
      <c r="B218" s="15" t="s">
        <v>838</v>
      </c>
      <c r="C218" s="3">
        <v>39306</v>
      </c>
      <c r="D218" s="2" t="s">
        <v>839</v>
      </c>
      <c r="E218" s="4" t="s">
        <v>112</v>
      </c>
      <c r="F218" s="2" t="s">
        <v>21</v>
      </c>
      <c r="K218" s="2" t="s">
        <v>68</v>
      </c>
      <c r="N218" s="4" t="s">
        <v>5</v>
      </c>
      <c r="O218" s="4" t="s">
        <v>8</v>
      </c>
      <c r="P218" s="2" t="s">
        <v>25</v>
      </c>
      <c r="Q218" s="2" t="s">
        <v>36</v>
      </c>
      <c r="R218" s="2" t="s">
        <v>17</v>
      </c>
      <c r="S218" s="2" t="s">
        <v>38</v>
      </c>
      <c r="T218" s="2" t="s">
        <v>43</v>
      </c>
      <c r="W218" s="4">
        <v>0</v>
      </c>
      <c r="X218" s="4">
        <v>0</v>
      </c>
      <c r="Y218" s="4">
        <v>0.5</v>
      </c>
      <c r="Z218" s="4">
        <f t="shared" si="3"/>
        <v>0.5</v>
      </c>
    </row>
    <row r="219" spans="1:27" ht="14.45" customHeight="1" x14ac:dyDescent="0.25">
      <c r="A219" s="2" t="s">
        <v>278</v>
      </c>
      <c r="B219" s="5" t="s">
        <v>279</v>
      </c>
      <c r="C219" s="3">
        <v>39306</v>
      </c>
      <c r="D219" s="2" t="s">
        <v>280</v>
      </c>
      <c r="E219" s="4" t="s">
        <v>112</v>
      </c>
      <c r="F219" s="2" t="s">
        <v>54</v>
      </c>
      <c r="K219" s="2" t="s">
        <v>68</v>
      </c>
      <c r="N219" s="4" t="s">
        <v>5</v>
      </c>
      <c r="P219" s="2" t="s">
        <v>36</v>
      </c>
      <c r="Q219" s="2" t="s">
        <v>23</v>
      </c>
      <c r="R219" s="2" t="s">
        <v>33</v>
      </c>
      <c r="S219" s="2" t="s">
        <v>43</v>
      </c>
      <c r="W219" s="4">
        <v>0</v>
      </c>
      <c r="X219" s="4">
        <v>0</v>
      </c>
      <c r="Y219" s="4">
        <v>0.5</v>
      </c>
      <c r="Z219" s="4">
        <f t="shared" si="3"/>
        <v>0.5</v>
      </c>
    </row>
    <row r="220" spans="1:27" ht="14.45" customHeight="1" x14ac:dyDescent="0.25">
      <c r="A220" s="2" t="s">
        <v>281</v>
      </c>
      <c r="B220" s="6" t="s">
        <v>450</v>
      </c>
      <c r="C220" s="3">
        <v>39306</v>
      </c>
      <c r="D220" s="2" t="s">
        <v>282</v>
      </c>
      <c r="E220" s="4" t="s">
        <v>160</v>
      </c>
      <c r="F220" s="2" t="s">
        <v>54</v>
      </c>
      <c r="N220" s="4" t="s">
        <v>4</v>
      </c>
      <c r="P220" s="2" t="s">
        <v>25</v>
      </c>
      <c r="Q220" s="2" t="s">
        <v>40</v>
      </c>
      <c r="R220" s="2" t="s">
        <v>13</v>
      </c>
      <c r="S220" s="2" t="s">
        <v>17</v>
      </c>
      <c r="T220" s="2" t="s">
        <v>38</v>
      </c>
      <c r="W220" s="4">
        <v>0</v>
      </c>
      <c r="X220" s="4">
        <v>0</v>
      </c>
      <c r="Y220" s="4">
        <v>0</v>
      </c>
      <c r="Z220" s="4">
        <f t="shared" si="3"/>
        <v>0</v>
      </c>
    </row>
    <row r="221" spans="1:27" ht="14.45" customHeight="1" x14ac:dyDescent="0.25">
      <c r="A221" s="2" t="s">
        <v>844</v>
      </c>
      <c r="B221" s="6" t="s">
        <v>845</v>
      </c>
      <c r="C221" s="3">
        <v>39305</v>
      </c>
      <c r="D221" s="2" t="s">
        <v>846</v>
      </c>
      <c r="E221" s="4" t="s">
        <v>843</v>
      </c>
      <c r="F221" s="2" t="s">
        <v>21</v>
      </c>
      <c r="G221" s="2" t="s">
        <v>1032</v>
      </c>
      <c r="K221" s="2" t="s">
        <v>72</v>
      </c>
      <c r="L221" s="2" t="s">
        <v>69</v>
      </c>
      <c r="N221" s="4" t="s">
        <v>5</v>
      </c>
      <c r="O221" s="4" t="s">
        <v>6</v>
      </c>
      <c r="P221" s="2" t="s">
        <v>25</v>
      </c>
      <c r="Q221" s="2" t="s">
        <v>13</v>
      </c>
      <c r="R221" s="2" t="s">
        <v>18</v>
      </c>
      <c r="W221" s="4">
        <v>0</v>
      </c>
      <c r="X221" s="4">
        <v>0.5</v>
      </c>
      <c r="Y221" s="4">
        <v>0.5</v>
      </c>
      <c r="Z221" s="4">
        <f t="shared" si="3"/>
        <v>1</v>
      </c>
    </row>
    <row r="222" spans="1:27" ht="14.45" customHeight="1" x14ac:dyDescent="0.25">
      <c r="A222" s="2" t="s">
        <v>1094</v>
      </c>
      <c r="B222" s="6" t="s">
        <v>1095</v>
      </c>
      <c r="C222" s="3">
        <v>39305</v>
      </c>
      <c r="D222" s="2" t="s">
        <v>1096</v>
      </c>
      <c r="E222" s="4" t="s">
        <v>843</v>
      </c>
      <c r="F222" s="2" t="s">
        <v>187</v>
      </c>
      <c r="G222" s="2" t="s">
        <v>1032</v>
      </c>
      <c r="K222" s="2" t="s">
        <v>72</v>
      </c>
      <c r="N222" s="4" t="s">
        <v>4</v>
      </c>
      <c r="O222" s="4" t="s">
        <v>5</v>
      </c>
      <c r="P222" s="2" t="s">
        <v>25</v>
      </c>
      <c r="Q222" s="2" t="s">
        <v>38</v>
      </c>
      <c r="R222" s="2" t="s">
        <v>18</v>
      </c>
      <c r="W222" s="4">
        <v>0.5</v>
      </c>
      <c r="X222" s="4">
        <v>0</v>
      </c>
      <c r="Y222" s="4">
        <v>0</v>
      </c>
      <c r="Z222" s="4">
        <f t="shared" si="3"/>
        <v>0.5</v>
      </c>
    </row>
    <row r="223" spans="1:27" ht="14.45" customHeight="1" x14ac:dyDescent="0.25">
      <c r="A223" s="2" t="s">
        <v>1150</v>
      </c>
      <c r="B223" s="6" t="s">
        <v>1151</v>
      </c>
      <c r="C223" s="3">
        <v>39305</v>
      </c>
      <c r="D223" s="2" t="s">
        <v>1152</v>
      </c>
      <c r="E223" s="4" t="s">
        <v>843</v>
      </c>
      <c r="F223" s="2" t="s">
        <v>1032</v>
      </c>
      <c r="K223" s="2" t="s">
        <v>72</v>
      </c>
      <c r="N223" s="4" t="s">
        <v>5</v>
      </c>
      <c r="O223" s="4" t="s">
        <v>6</v>
      </c>
      <c r="P223" s="2" t="s">
        <v>25</v>
      </c>
      <c r="Q223" s="2" t="s">
        <v>16</v>
      </c>
      <c r="R223" s="2" t="s">
        <v>23</v>
      </c>
      <c r="S223" s="2" t="s">
        <v>18</v>
      </c>
      <c r="W223" s="4">
        <v>0</v>
      </c>
      <c r="X223" s="4">
        <v>0.5</v>
      </c>
      <c r="Y223" s="4">
        <v>0</v>
      </c>
      <c r="Z223" s="4">
        <f t="shared" si="3"/>
        <v>0.5</v>
      </c>
    </row>
    <row r="224" spans="1:27" ht="14.45" customHeight="1" x14ac:dyDescent="0.25">
      <c r="A224" s="2" t="s">
        <v>850</v>
      </c>
      <c r="B224" s="6" t="s">
        <v>848</v>
      </c>
      <c r="C224" s="3">
        <v>39305</v>
      </c>
      <c r="D224" s="2" t="s">
        <v>849</v>
      </c>
      <c r="E224" s="4" t="s">
        <v>847</v>
      </c>
      <c r="F224" s="2" t="s">
        <v>21</v>
      </c>
      <c r="N224" s="4" t="s">
        <v>7</v>
      </c>
      <c r="O224" s="4" t="s">
        <v>5</v>
      </c>
      <c r="P224" s="2" t="s">
        <v>25</v>
      </c>
      <c r="Q224" s="2" t="s">
        <v>16</v>
      </c>
      <c r="R224" s="2" t="s">
        <v>35</v>
      </c>
      <c r="S224" s="2" t="s">
        <v>22</v>
      </c>
      <c r="W224" s="4">
        <v>0</v>
      </c>
      <c r="X224" s="4">
        <v>0</v>
      </c>
      <c r="Y224" s="4">
        <v>0</v>
      </c>
      <c r="Z224" s="4">
        <f t="shared" si="3"/>
        <v>0</v>
      </c>
    </row>
    <row r="225" spans="1:26" ht="14.45" customHeight="1" x14ac:dyDescent="0.25">
      <c r="A225" s="2" t="s">
        <v>1097</v>
      </c>
      <c r="B225" s="6" t="s">
        <v>1098</v>
      </c>
      <c r="C225" s="3">
        <v>39303</v>
      </c>
      <c r="D225" s="2" t="s">
        <v>1099</v>
      </c>
      <c r="E225" s="4" t="s">
        <v>417</v>
      </c>
      <c r="F225" s="2" t="s">
        <v>187</v>
      </c>
      <c r="N225" s="4" t="s">
        <v>8</v>
      </c>
      <c r="O225" s="4" t="s">
        <v>5</v>
      </c>
      <c r="P225" s="2" t="s">
        <v>25</v>
      </c>
      <c r="Q225" s="2" t="s">
        <v>23</v>
      </c>
      <c r="W225" s="4">
        <v>0</v>
      </c>
      <c r="X225" s="4">
        <v>0</v>
      </c>
      <c r="Y225" s="4">
        <v>0</v>
      </c>
      <c r="Z225" s="4">
        <f t="shared" si="3"/>
        <v>0</v>
      </c>
    </row>
    <row r="226" spans="1:26" ht="14.45" customHeight="1" x14ac:dyDescent="0.25">
      <c r="A226" s="2" t="s">
        <v>414</v>
      </c>
      <c r="B226" s="6" t="s">
        <v>415</v>
      </c>
      <c r="C226" s="3">
        <v>39303</v>
      </c>
      <c r="D226" s="2" t="s">
        <v>416</v>
      </c>
      <c r="E226" s="4" t="s">
        <v>417</v>
      </c>
      <c r="F226" s="2" t="s">
        <v>56</v>
      </c>
      <c r="N226" s="4" t="s">
        <v>4</v>
      </c>
      <c r="P226" s="2" t="s">
        <v>25</v>
      </c>
      <c r="Q226" s="2" t="s">
        <v>23</v>
      </c>
      <c r="W226" s="4">
        <v>0</v>
      </c>
      <c r="X226" s="4">
        <v>0</v>
      </c>
      <c r="Y226" s="4">
        <v>0</v>
      </c>
      <c r="Z226" s="4">
        <f t="shared" si="3"/>
        <v>0</v>
      </c>
    </row>
    <row r="227" spans="1:26" ht="14.45" customHeight="1" x14ac:dyDescent="0.25">
      <c r="A227" s="2" t="s">
        <v>854</v>
      </c>
      <c r="B227" s="6" t="s">
        <v>855</v>
      </c>
      <c r="C227" s="3">
        <v>39302</v>
      </c>
      <c r="D227" s="2" t="s">
        <v>856</v>
      </c>
      <c r="E227" s="4" t="s">
        <v>285</v>
      </c>
      <c r="F227" s="2" t="s">
        <v>21</v>
      </c>
      <c r="K227" s="2" t="s">
        <v>61</v>
      </c>
      <c r="L227" s="2" t="s">
        <v>75</v>
      </c>
      <c r="M227" s="2" t="s">
        <v>67</v>
      </c>
      <c r="N227" s="4" t="s">
        <v>4</v>
      </c>
      <c r="O227" s="4" t="s">
        <v>5</v>
      </c>
      <c r="P227" s="2" t="s">
        <v>36</v>
      </c>
      <c r="Q227" s="2" t="s">
        <v>40</v>
      </c>
      <c r="R227" s="2" t="s">
        <v>38</v>
      </c>
      <c r="S227" s="2" t="s">
        <v>39</v>
      </c>
      <c r="W227" s="4">
        <v>1</v>
      </c>
      <c r="X227" s="4">
        <v>0</v>
      </c>
      <c r="Y227" s="4">
        <v>1</v>
      </c>
      <c r="Z227" s="4">
        <f t="shared" si="3"/>
        <v>2</v>
      </c>
    </row>
    <row r="228" spans="1:26" ht="14.45" customHeight="1" x14ac:dyDescent="0.25">
      <c r="A228" s="2" t="s">
        <v>851</v>
      </c>
      <c r="B228" s="6" t="s">
        <v>852</v>
      </c>
      <c r="C228" s="3">
        <v>39302</v>
      </c>
      <c r="D228" s="2" t="s">
        <v>853</v>
      </c>
      <c r="E228" s="4" t="s">
        <v>285</v>
      </c>
      <c r="F228" s="2" t="s">
        <v>21</v>
      </c>
      <c r="K228" s="2" t="s">
        <v>61</v>
      </c>
      <c r="L228" s="2" t="s">
        <v>75</v>
      </c>
      <c r="M228" s="2" t="s">
        <v>72</v>
      </c>
      <c r="N228" s="4" t="s">
        <v>4</v>
      </c>
      <c r="O228" s="4" t="s">
        <v>5</v>
      </c>
      <c r="P228" s="2" t="s">
        <v>25</v>
      </c>
      <c r="Q228" s="2" t="s">
        <v>38</v>
      </c>
      <c r="R228" s="2" t="s">
        <v>46</v>
      </c>
      <c r="S228" s="2" t="s">
        <v>22</v>
      </c>
      <c r="W228" s="4">
        <v>1</v>
      </c>
      <c r="X228" s="4">
        <v>0.5</v>
      </c>
      <c r="Y228" s="4">
        <v>0.5</v>
      </c>
      <c r="Z228" s="4">
        <f t="shared" si="3"/>
        <v>2</v>
      </c>
    </row>
    <row r="229" spans="1:26" ht="14.45" customHeight="1" x14ac:dyDescent="0.25">
      <c r="A229" s="2" t="s">
        <v>286</v>
      </c>
      <c r="B229" s="6" t="s">
        <v>448</v>
      </c>
      <c r="C229" s="3">
        <v>39302</v>
      </c>
      <c r="D229" s="2" t="s">
        <v>287</v>
      </c>
      <c r="E229" s="4" t="s">
        <v>285</v>
      </c>
      <c r="F229" s="2" t="s">
        <v>54</v>
      </c>
      <c r="G229" s="2" t="s">
        <v>21</v>
      </c>
      <c r="K229" s="2" t="s">
        <v>67</v>
      </c>
      <c r="N229" s="4" t="s">
        <v>4</v>
      </c>
      <c r="P229" s="2" t="s">
        <v>25</v>
      </c>
      <c r="Q229" s="2" t="s">
        <v>36</v>
      </c>
      <c r="R229" s="2" t="s">
        <v>40</v>
      </c>
      <c r="S229" s="2" t="s">
        <v>38</v>
      </c>
      <c r="T229" s="2" t="s">
        <v>43</v>
      </c>
      <c r="W229" s="4">
        <v>0</v>
      </c>
      <c r="X229" s="4">
        <v>0</v>
      </c>
      <c r="Y229" s="4">
        <v>0.5</v>
      </c>
      <c r="Z229" s="4">
        <f t="shared" si="3"/>
        <v>0.5</v>
      </c>
    </row>
    <row r="230" spans="1:26" ht="14.45" customHeight="1" x14ac:dyDescent="0.25">
      <c r="A230" s="2" t="s">
        <v>858</v>
      </c>
      <c r="B230" s="6" t="s">
        <v>859</v>
      </c>
      <c r="C230" s="3">
        <v>39300</v>
      </c>
      <c r="D230" s="2" t="s">
        <v>860</v>
      </c>
      <c r="E230" s="4" t="s">
        <v>857</v>
      </c>
      <c r="F230" s="2" t="s">
        <v>21</v>
      </c>
      <c r="K230" s="2" t="s">
        <v>72</v>
      </c>
      <c r="N230" s="4" t="s">
        <v>7</v>
      </c>
      <c r="O230" s="4" t="s">
        <v>9</v>
      </c>
      <c r="P230" s="2" t="s">
        <v>25</v>
      </c>
      <c r="Q230" s="2" t="s">
        <v>31</v>
      </c>
      <c r="R230" s="2" t="s">
        <v>35</v>
      </c>
      <c r="W230" s="4">
        <v>0</v>
      </c>
      <c r="X230" s="4">
        <v>0.5</v>
      </c>
      <c r="Y230" s="4">
        <v>0</v>
      </c>
      <c r="Z230" s="4">
        <f t="shared" si="3"/>
        <v>0.5</v>
      </c>
    </row>
    <row r="231" spans="1:26" ht="14.45" customHeight="1" x14ac:dyDescent="0.25">
      <c r="A231" s="2" t="s">
        <v>1153</v>
      </c>
      <c r="B231" s="6" t="s">
        <v>1154</v>
      </c>
      <c r="C231" s="3">
        <v>39299</v>
      </c>
      <c r="D231" s="2" t="s">
        <v>1155</v>
      </c>
      <c r="E231" s="4" t="s">
        <v>288</v>
      </c>
      <c r="F231" s="2" t="s">
        <v>1032</v>
      </c>
      <c r="K231" s="2" t="s">
        <v>69</v>
      </c>
      <c r="L231" s="2" t="s">
        <v>72</v>
      </c>
      <c r="N231" s="4" t="s">
        <v>5</v>
      </c>
      <c r="O231" s="4" t="s">
        <v>6</v>
      </c>
      <c r="P231" s="2" t="s">
        <v>25</v>
      </c>
      <c r="Q231" s="2" t="s">
        <v>38</v>
      </c>
      <c r="R231" s="2" t="s">
        <v>45</v>
      </c>
      <c r="S231" s="2" t="s">
        <v>47</v>
      </c>
      <c r="T231" s="2" t="s">
        <v>18</v>
      </c>
      <c r="W231" s="4">
        <v>0</v>
      </c>
      <c r="X231" s="4">
        <v>0.5</v>
      </c>
      <c r="Y231" s="4">
        <v>0.5</v>
      </c>
      <c r="Z231" s="4">
        <f t="shared" si="3"/>
        <v>1</v>
      </c>
    </row>
    <row r="232" spans="1:26" ht="14.45" customHeight="1" x14ac:dyDescent="0.25">
      <c r="A232" s="2" t="s">
        <v>861</v>
      </c>
      <c r="B232" s="6" t="s">
        <v>862</v>
      </c>
      <c r="C232" s="3">
        <v>39299</v>
      </c>
      <c r="D232" s="2" t="s">
        <v>863</v>
      </c>
      <c r="E232" s="4" t="s">
        <v>288</v>
      </c>
      <c r="F232" s="2" t="s">
        <v>21</v>
      </c>
      <c r="K232" s="2" t="s">
        <v>69</v>
      </c>
      <c r="L232" s="2" t="s">
        <v>72</v>
      </c>
      <c r="N232" s="4" t="s">
        <v>9</v>
      </c>
      <c r="O232" s="4" t="s">
        <v>7</v>
      </c>
      <c r="P232" s="2" t="s">
        <v>25</v>
      </c>
      <c r="Q232" s="2" t="s">
        <v>38</v>
      </c>
      <c r="R232" s="2" t="s">
        <v>42</v>
      </c>
      <c r="S232" s="2" t="s">
        <v>45</v>
      </c>
      <c r="T232" s="2" t="s">
        <v>18</v>
      </c>
      <c r="W232" s="4">
        <v>0</v>
      </c>
      <c r="X232" s="4">
        <v>0.5</v>
      </c>
      <c r="Y232" s="4">
        <v>0.5</v>
      </c>
      <c r="Z232" s="4">
        <f t="shared" si="3"/>
        <v>1</v>
      </c>
    </row>
    <row r="233" spans="1:26" ht="14.45" customHeight="1" x14ac:dyDescent="0.25">
      <c r="A233" s="2" t="s">
        <v>289</v>
      </c>
      <c r="B233" s="6" t="s">
        <v>290</v>
      </c>
      <c r="C233" s="3">
        <v>39299</v>
      </c>
      <c r="D233" s="2" t="s">
        <v>291</v>
      </c>
      <c r="E233" s="4" t="s">
        <v>288</v>
      </c>
      <c r="F233" s="2" t="s">
        <v>54</v>
      </c>
      <c r="K233" s="2" t="s">
        <v>69</v>
      </c>
      <c r="N233" s="4" t="s">
        <v>5</v>
      </c>
      <c r="P233" s="2" t="s">
        <v>40</v>
      </c>
      <c r="Q233" s="2" t="s">
        <v>44</v>
      </c>
      <c r="R233" s="2" t="s">
        <v>45</v>
      </c>
      <c r="S233" s="2" t="s">
        <v>28</v>
      </c>
      <c r="T233" s="2" t="s">
        <v>21</v>
      </c>
      <c r="W233" s="4">
        <v>0</v>
      </c>
      <c r="X233" s="4">
        <v>0</v>
      </c>
      <c r="Y233" s="4">
        <v>0.5</v>
      </c>
      <c r="Z233" s="4">
        <f t="shared" si="3"/>
        <v>0.5</v>
      </c>
    </row>
    <row r="234" spans="1:26" ht="14.45" customHeight="1" x14ac:dyDescent="0.25">
      <c r="A234" s="2" t="s">
        <v>865</v>
      </c>
      <c r="B234" s="6" t="s">
        <v>866</v>
      </c>
      <c r="C234" s="3">
        <v>39295</v>
      </c>
      <c r="D234" s="2" t="s">
        <v>867</v>
      </c>
      <c r="E234" s="4" t="s">
        <v>864</v>
      </c>
      <c r="F234" s="2" t="s">
        <v>21</v>
      </c>
      <c r="G234" s="2" t="s">
        <v>187</v>
      </c>
      <c r="H234" s="2" t="s">
        <v>1032</v>
      </c>
      <c r="K234" s="2" t="s">
        <v>72</v>
      </c>
      <c r="L234" s="2" t="s">
        <v>62</v>
      </c>
      <c r="N234" s="4" t="s">
        <v>4</v>
      </c>
      <c r="O234" s="4" t="s">
        <v>5</v>
      </c>
      <c r="P234" s="2" t="s">
        <v>25</v>
      </c>
      <c r="Q234" s="2" t="s">
        <v>23</v>
      </c>
      <c r="R234" s="2" t="s">
        <v>38</v>
      </c>
      <c r="W234" s="4">
        <v>0.5</v>
      </c>
      <c r="X234" s="4">
        <v>0.5</v>
      </c>
      <c r="Y234" s="4">
        <v>0</v>
      </c>
      <c r="Z234" s="4">
        <f t="shared" si="3"/>
        <v>1</v>
      </c>
    </row>
    <row r="235" spans="1:26" ht="14.45" customHeight="1" x14ac:dyDescent="0.25">
      <c r="A235" s="2" t="s">
        <v>292</v>
      </c>
      <c r="B235" s="6" t="s">
        <v>447</v>
      </c>
      <c r="C235" s="3">
        <v>39293</v>
      </c>
      <c r="D235" s="2" t="s">
        <v>293</v>
      </c>
      <c r="E235" s="4" t="s">
        <v>267</v>
      </c>
      <c r="F235" s="2" t="s">
        <v>54</v>
      </c>
      <c r="G235" s="2" t="s">
        <v>56</v>
      </c>
      <c r="H235" s="2" t="s">
        <v>1032</v>
      </c>
      <c r="K235" s="2" t="s">
        <v>75</v>
      </c>
      <c r="L235" s="2" t="s">
        <v>67</v>
      </c>
      <c r="M235" s="2" t="s">
        <v>72</v>
      </c>
      <c r="N235" s="4" t="s">
        <v>4</v>
      </c>
      <c r="O235" s="4" t="s">
        <v>5</v>
      </c>
      <c r="P235" s="2" t="s">
        <v>40</v>
      </c>
      <c r="Q235" s="2" t="s">
        <v>13</v>
      </c>
      <c r="R235" s="2" t="s">
        <v>38</v>
      </c>
      <c r="S235" s="2" t="s">
        <v>46</v>
      </c>
      <c r="T235" s="2" t="s">
        <v>18</v>
      </c>
      <c r="W235" s="4">
        <v>1</v>
      </c>
      <c r="X235" s="4">
        <v>0.5</v>
      </c>
      <c r="Y235" s="4">
        <v>0.5</v>
      </c>
      <c r="Z235" s="4">
        <f t="shared" si="3"/>
        <v>2</v>
      </c>
    </row>
    <row r="236" spans="1:26" ht="14.45" customHeight="1" x14ac:dyDescent="0.25">
      <c r="A236" s="2" t="s">
        <v>869</v>
      </c>
      <c r="B236" s="6" t="s">
        <v>870</v>
      </c>
      <c r="C236" s="3">
        <v>39293</v>
      </c>
      <c r="D236" s="2" t="s">
        <v>871</v>
      </c>
      <c r="E236" s="4" t="s">
        <v>868</v>
      </c>
      <c r="F236" s="2" t="s">
        <v>21</v>
      </c>
      <c r="G236" s="2" t="s">
        <v>187</v>
      </c>
      <c r="K236" s="2" t="s">
        <v>75</v>
      </c>
      <c r="L236" s="2" t="s">
        <v>62</v>
      </c>
      <c r="M236" s="2" t="s">
        <v>72</v>
      </c>
      <c r="N236" s="4" t="s">
        <v>5</v>
      </c>
      <c r="O236" s="4" t="s">
        <v>8</v>
      </c>
      <c r="P236" s="2" t="s">
        <v>30</v>
      </c>
      <c r="Q236" s="2" t="s">
        <v>16</v>
      </c>
      <c r="R236" s="2" t="s">
        <v>23</v>
      </c>
      <c r="S236" s="2" t="s">
        <v>45</v>
      </c>
      <c r="T236" s="2" t="s">
        <v>46</v>
      </c>
      <c r="U236" s="2" t="s">
        <v>21</v>
      </c>
      <c r="W236" s="4">
        <v>1</v>
      </c>
      <c r="X236" s="4">
        <v>0.5</v>
      </c>
      <c r="Y236" s="4">
        <v>0.5</v>
      </c>
      <c r="Z236" s="4">
        <f t="shared" si="3"/>
        <v>2</v>
      </c>
    </row>
    <row r="237" spans="1:26" ht="14.45" customHeight="1" x14ac:dyDescent="0.25">
      <c r="A237" s="2" t="s">
        <v>564</v>
      </c>
      <c r="B237" s="6" t="s">
        <v>565</v>
      </c>
      <c r="C237" s="3">
        <v>39293</v>
      </c>
      <c r="D237" s="2" t="s">
        <v>566</v>
      </c>
      <c r="E237" s="4" t="s">
        <v>161</v>
      </c>
      <c r="F237" s="2" t="s">
        <v>45</v>
      </c>
      <c r="K237" s="2" t="s">
        <v>72</v>
      </c>
      <c r="L237" s="2" t="s">
        <v>69</v>
      </c>
      <c r="M237" s="2" t="s">
        <v>68</v>
      </c>
      <c r="N237" s="4" t="s">
        <v>5</v>
      </c>
      <c r="P237" s="2" t="s">
        <v>25</v>
      </c>
      <c r="Q237" s="2" t="s">
        <v>43</v>
      </c>
      <c r="R237" s="2" t="s">
        <v>44</v>
      </c>
      <c r="S237" s="2" t="s">
        <v>22</v>
      </c>
      <c r="W237" s="4">
        <v>0</v>
      </c>
      <c r="X237" s="4">
        <v>0.5</v>
      </c>
      <c r="Y237" s="4">
        <v>1</v>
      </c>
      <c r="Z237" s="4">
        <f t="shared" si="3"/>
        <v>1.5</v>
      </c>
    </row>
    <row r="238" spans="1:26" ht="14.45" customHeight="1" x14ac:dyDescent="0.25">
      <c r="A238" s="2" t="s">
        <v>876</v>
      </c>
      <c r="B238" s="6" t="s">
        <v>877</v>
      </c>
      <c r="C238" s="3">
        <v>39293</v>
      </c>
      <c r="D238" s="2" t="s">
        <v>878</v>
      </c>
      <c r="E238" s="4" t="s">
        <v>872</v>
      </c>
      <c r="F238" s="2" t="s">
        <v>21</v>
      </c>
      <c r="K238" s="2" t="s">
        <v>75</v>
      </c>
      <c r="L238" s="2" t="s">
        <v>72</v>
      </c>
      <c r="N238" s="4" t="s">
        <v>8</v>
      </c>
      <c r="O238" s="4" t="s">
        <v>7</v>
      </c>
      <c r="P238" s="2" t="s">
        <v>30</v>
      </c>
      <c r="Q238" s="2" t="s">
        <v>7</v>
      </c>
      <c r="R238" s="2" t="s">
        <v>38</v>
      </c>
      <c r="S238" s="2" t="s">
        <v>39</v>
      </c>
      <c r="W238" s="4">
        <v>0.5</v>
      </c>
      <c r="X238" s="4">
        <v>0.5</v>
      </c>
      <c r="Y238" s="4">
        <v>0</v>
      </c>
      <c r="Z238" s="4">
        <f t="shared" si="3"/>
        <v>1</v>
      </c>
    </row>
    <row r="239" spans="1:26" ht="14.45" customHeight="1" x14ac:dyDescent="0.25">
      <c r="A239" s="2" t="s">
        <v>873</v>
      </c>
      <c r="B239" s="6" t="s">
        <v>874</v>
      </c>
      <c r="C239" s="3">
        <v>39293</v>
      </c>
      <c r="D239" s="2" t="s">
        <v>875</v>
      </c>
      <c r="E239" s="4" t="s">
        <v>872</v>
      </c>
      <c r="F239" s="2" t="s">
        <v>21</v>
      </c>
      <c r="K239" s="2" t="s">
        <v>75</v>
      </c>
      <c r="L239" s="2" t="s">
        <v>62</v>
      </c>
      <c r="N239" s="4" t="s">
        <v>8</v>
      </c>
      <c r="O239" s="4" t="s">
        <v>9</v>
      </c>
      <c r="P239" s="2" t="s">
        <v>30</v>
      </c>
      <c r="Q239" s="2" t="s">
        <v>33</v>
      </c>
      <c r="R239" s="2" t="s">
        <v>39</v>
      </c>
      <c r="S239" s="2" t="s">
        <v>21</v>
      </c>
      <c r="W239" s="4">
        <v>0.5</v>
      </c>
      <c r="X239" s="4">
        <v>0</v>
      </c>
      <c r="Y239" s="4">
        <v>0</v>
      </c>
      <c r="Z239" s="4">
        <f t="shared" si="3"/>
        <v>0.5</v>
      </c>
    </row>
    <row r="240" spans="1:26" ht="14.45" customHeight="1" x14ac:dyDescent="0.25">
      <c r="A240" s="2" t="s">
        <v>162</v>
      </c>
      <c r="B240" s="5" t="s">
        <v>163</v>
      </c>
      <c r="C240" s="3">
        <v>39293</v>
      </c>
      <c r="D240" s="2" t="s">
        <v>164</v>
      </c>
      <c r="E240" s="4" t="s">
        <v>161</v>
      </c>
      <c r="F240" s="2" t="s">
        <v>55</v>
      </c>
      <c r="G240" s="2" t="s">
        <v>21</v>
      </c>
      <c r="K240" s="2" t="s">
        <v>68</v>
      </c>
      <c r="L240" s="2" t="s">
        <v>75</v>
      </c>
      <c r="N240" s="4" t="s">
        <v>4</v>
      </c>
      <c r="P240" s="2" t="s">
        <v>25</v>
      </c>
      <c r="Q240" s="2" t="s">
        <v>33</v>
      </c>
      <c r="R240" s="2" t="s">
        <v>44</v>
      </c>
      <c r="W240" s="4">
        <v>0</v>
      </c>
      <c r="X240" s="4">
        <v>0</v>
      </c>
      <c r="Y240" s="4">
        <v>0.5</v>
      </c>
      <c r="Z240" s="4">
        <f t="shared" si="3"/>
        <v>0.5</v>
      </c>
    </row>
    <row r="241" spans="1:27" ht="14.45" customHeight="1" x14ac:dyDescent="0.25">
      <c r="A241" s="2" t="s">
        <v>1100</v>
      </c>
      <c r="B241" s="6" t="s">
        <v>1101</v>
      </c>
      <c r="C241" s="3">
        <v>39293</v>
      </c>
      <c r="D241" s="2" t="s">
        <v>1102</v>
      </c>
      <c r="E241" s="4" t="s">
        <v>161</v>
      </c>
      <c r="F241" s="2" t="s">
        <v>187</v>
      </c>
      <c r="K241" s="2" t="s">
        <v>68</v>
      </c>
      <c r="N241" s="4" t="s">
        <v>8</v>
      </c>
      <c r="O241" s="4" t="s">
        <v>5</v>
      </c>
      <c r="P241" s="2" t="s">
        <v>25</v>
      </c>
      <c r="Q241" s="2" t="s">
        <v>44</v>
      </c>
      <c r="R241" s="2" t="s">
        <v>19</v>
      </c>
      <c r="S241" s="2" t="s">
        <v>18</v>
      </c>
      <c r="W241" s="4">
        <v>0</v>
      </c>
      <c r="X241" s="4">
        <v>0</v>
      </c>
      <c r="Y241" s="4">
        <v>0.5</v>
      </c>
      <c r="Z241" s="4">
        <f t="shared" si="3"/>
        <v>0.5</v>
      </c>
    </row>
    <row r="242" spans="1:27" ht="14.45" customHeight="1" x14ac:dyDescent="0.25">
      <c r="A242" s="2" t="s">
        <v>879</v>
      </c>
      <c r="B242" s="6" t="s">
        <v>880</v>
      </c>
      <c r="C242" s="3">
        <v>39292</v>
      </c>
      <c r="D242" s="2" t="s">
        <v>881</v>
      </c>
      <c r="E242" s="4" t="s">
        <v>418</v>
      </c>
      <c r="F242" s="2" t="s">
        <v>21</v>
      </c>
      <c r="K242" s="2" t="s">
        <v>67</v>
      </c>
      <c r="L242" s="2" t="s">
        <v>61</v>
      </c>
      <c r="N242" s="4" t="s">
        <v>4</v>
      </c>
      <c r="O242" s="4" t="s">
        <v>5</v>
      </c>
      <c r="P242" s="2" t="s">
        <v>25</v>
      </c>
      <c r="Q242" s="2" t="s">
        <v>36</v>
      </c>
      <c r="R242" s="2" t="s">
        <v>33</v>
      </c>
      <c r="S242" s="2" t="s">
        <v>38</v>
      </c>
      <c r="W242" s="4">
        <v>0.5</v>
      </c>
      <c r="X242" s="4">
        <v>0</v>
      </c>
      <c r="Y242" s="4">
        <v>0.5</v>
      </c>
      <c r="Z242" s="4">
        <f t="shared" si="3"/>
        <v>1</v>
      </c>
    </row>
    <row r="243" spans="1:27" ht="14.45" customHeight="1" x14ac:dyDescent="0.25">
      <c r="A243" s="2" t="s">
        <v>1103</v>
      </c>
      <c r="B243" s="6" t="s">
        <v>1104</v>
      </c>
      <c r="C243" s="3">
        <v>39292</v>
      </c>
      <c r="D243" s="2" t="s">
        <v>1105</v>
      </c>
      <c r="E243" s="4" t="s">
        <v>418</v>
      </c>
      <c r="F243" s="2" t="s">
        <v>187</v>
      </c>
      <c r="K243" s="2" t="s">
        <v>72</v>
      </c>
      <c r="L243" s="2" t="s">
        <v>68</v>
      </c>
      <c r="N243" s="4" t="s">
        <v>4</v>
      </c>
      <c r="O243" s="4" t="s">
        <v>5</v>
      </c>
      <c r="P243" s="2" t="s">
        <v>25</v>
      </c>
      <c r="Q243" s="2" t="s">
        <v>32</v>
      </c>
      <c r="R243" s="2" t="s">
        <v>23</v>
      </c>
      <c r="S243" s="2" t="s">
        <v>33</v>
      </c>
      <c r="W243" s="4">
        <v>0</v>
      </c>
      <c r="X243" s="4">
        <v>0.5</v>
      </c>
      <c r="Y243" s="4">
        <v>0.5</v>
      </c>
      <c r="Z243" s="4">
        <f t="shared" si="3"/>
        <v>1</v>
      </c>
    </row>
    <row r="244" spans="1:27" ht="14.45" customHeight="1" x14ac:dyDescent="0.25">
      <c r="A244" s="2" t="s">
        <v>1106</v>
      </c>
      <c r="B244" s="6" t="s">
        <v>1107</v>
      </c>
      <c r="C244" s="3">
        <v>39292</v>
      </c>
      <c r="D244" s="2" t="s">
        <v>1108</v>
      </c>
      <c r="E244" s="4" t="s">
        <v>418</v>
      </c>
      <c r="F244" s="2" t="s">
        <v>187</v>
      </c>
      <c r="K244" s="2" t="s">
        <v>72</v>
      </c>
      <c r="L244" s="2" t="s">
        <v>68</v>
      </c>
      <c r="N244" s="4" t="s">
        <v>4</v>
      </c>
      <c r="O244" s="4" t="s">
        <v>5</v>
      </c>
      <c r="P244" s="2" t="s">
        <v>25</v>
      </c>
      <c r="Q244" s="2" t="s">
        <v>32</v>
      </c>
      <c r="R244" s="2" t="s">
        <v>23</v>
      </c>
      <c r="S244" s="2" t="s">
        <v>33</v>
      </c>
      <c r="W244" s="4">
        <v>0</v>
      </c>
      <c r="X244" s="4">
        <v>0.5</v>
      </c>
      <c r="Y244" s="4">
        <v>0.5</v>
      </c>
      <c r="Z244" s="4">
        <f t="shared" si="3"/>
        <v>1</v>
      </c>
    </row>
    <row r="245" spans="1:27" ht="14.45" customHeight="1" x14ac:dyDescent="0.25">
      <c r="A245" s="2" t="s">
        <v>419</v>
      </c>
      <c r="B245" s="6" t="s">
        <v>420</v>
      </c>
      <c r="C245" s="3">
        <v>39292</v>
      </c>
      <c r="D245" s="2" t="s">
        <v>421</v>
      </c>
      <c r="E245" s="4" t="s">
        <v>418</v>
      </c>
      <c r="F245" s="2" t="s">
        <v>56</v>
      </c>
      <c r="K245" s="2" t="s">
        <v>67</v>
      </c>
      <c r="N245" s="4" t="s">
        <v>4</v>
      </c>
      <c r="O245" s="4" t="s">
        <v>5</v>
      </c>
      <c r="P245" s="2" t="s">
        <v>25</v>
      </c>
      <c r="Q245" s="2" t="s">
        <v>36</v>
      </c>
      <c r="R245" s="2" t="s">
        <v>33</v>
      </c>
      <c r="W245" s="4">
        <v>0</v>
      </c>
      <c r="X245" s="4">
        <v>0</v>
      </c>
      <c r="Y245" s="4">
        <v>0.5</v>
      </c>
      <c r="Z245" s="4">
        <f t="shared" si="3"/>
        <v>0.5</v>
      </c>
    </row>
    <row r="246" spans="1:27" ht="14.45" customHeight="1" x14ac:dyDescent="0.25">
      <c r="A246" s="2" t="s">
        <v>567</v>
      </c>
      <c r="B246" s="6" t="s">
        <v>568</v>
      </c>
      <c r="C246" s="3">
        <v>39290</v>
      </c>
      <c r="D246" s="2" t="s">
        <v>569</v>
      </c>
      <c r="E246" s="4" t="s">
        <v>165</v>
      </c>
      <c r="F246" s="2" t="s">
        <v>45</v>
      </c>
      <c r="G246" s="2" t="s">
        <v>187</v>
      </c>
      <c r="K246" s="2" t="s">
        <v>72</v>
      </c>
      <c r="L246" s="2" t="s">
        <v>69</v>
      </c>
      <c r="M246" s="2" t="s">
        <v>75</v>
      </c>
      <c r="N246" s="4" t="s">
        <v>5</v>
      </c>
      <c r="O246" s="4" t="s">
        <v>6</v>
      </c>
      <c r="P246" s="2" t="s">
        <v>40</v>
      </c>
      <c r="Q246" s="2" t="s">
        <v>13</v>
      </c>
      <c r="R246" s="2" t="s">
        <v>38</v>
      </c>
      <c r="W246" s="4">
        <v>0.5</v>
      </c>
      <c r="X246" s="4">
        <v>1</v>
      </c>
      <c r="Y246" s="4">
        <v>1</v>
      </c>
      <c r="Z246" s="4">
        <f t="shared" si="3"/>
        <v>2.5</v>
      </c>
    </row>
    <row r="247" spans="1:27" ht="14.45" customHeight="1" x14ac:dyDescent="0.25">
      <c r="A247" s="2" t="s">
        <v>166</v>
      </c>
      <c r="B247" s="5" t="s">
        <v>167</v>
      </c>
      <c r="C247" s="3">
        <v>39290</v>
      </c>
      <c r="D247" s="2" t="s">
        <v>168</v>
      </c>
      <c r="E247" s="4" t="s">
        <v>165</v>
      </c>
      <c r="F247" s="2" t="s">
        <v>55</v>
      </c>
      <c r="G247" s="2" t="s">
        <v>54</v>
      </c>
      <c r="H247" s="2" t="s">
        <v>56</v>
      </c>
      <c r="I247" s="2" t="s">
        <v>21</v>
      </c>
      <c r="K247" s="2" t="s">
        <v>59</v>
      </c>
      <c r="L247" s="2" t="s">
        <v>69</v>
      </c>
      <c r="M247" s="2" t="s">
        <v>75</v>
      </c>
      <c r="N247" s="4" t="s">
        <v>4</v>
      </c>
      <c r="O247" s="4" t="s">
        <v>8</v>
      </c>
      <c r="P247" s="2" t="s">
        <v>40</v>
      </c>
      <c r="Q247" s="2" t="s">
        <v>13</v>
      </c>
      <c r="R247" s="2" t="s">
        <v>38</v>
      </c>
      <c r="W247" s="4">
        <v>0.5</v>
      </c>
      <c r="X247" s="4">
        <v>0.5</v>
      </c>
      <c r="Y247" s="4">
        <v>1</v>
      </c>
      <c r="Z247" s="4">
        <f t="shared" si="3"/>
        <v>2</v>
      </c>
    </row>
    <row r="248" spans="1:27" ht="14.45" customHeight="1" x14ac:dyDescent="0.25">
      <c r="A248" s="2" t="s">
        <v>1109</v>
      </c>
      <c r="B248" s="6" t="s">
        <v>1110</v>
      </c>
      <c r="C248" s="3">
        <v>39290</v>
      </c>
      <c r="D248" s="2" t="s">
        <v>1111</v>
      </c>
      <c r="E248" s="4" t="s">
        <v>165</v>
      </c>
      <c r="F248" s="2" t="s">
        <v>187</v>
      </c>
      <c r="K248" s="2" t="s">
        <v>65</v>
      </c>
      <c r="L248" s="2" t="s">
        <v>62</v>
      </c>
      <c r="M248" s="2" t="s">
        <v>67</v>
      </c>
      <c r="N248" s="4" t="s">
        <v>4</v>
      </c>
      <c r="O248" s="4" t="s">
        <v>5</v>
      </c>
      <c r="P248" s="2" t="s">
        <v>40</v>
      </c>
      <c r="Q248" s="2" t="s">
        <v>13</v>
      </c>
      <c r="R248" s="2" t="s">
        <v>38</v>
      </c>
      <c r="S248" s="2" t="s">
        <v>48</v>
      </c>
      <c r="W248" s="4">
        <v>1</v>
      </c>
      <c r="X248" s="4">
        <v>0</v>
      </c>
      <c r="Y248" s="4">
        <v>0.5</v>
      </c>
      <c r="Z248" s="4">
        <f t="shared" si="3"/>
        <v>1.5</v>
      </c>
    </row>
    <row r="249" spans="1:27" ht="14.45" customHeight="1" x14ac:dyDescent="0.25">
      <c r="A249" s="2" t="s">
        <v>257</v>
      </c>
      <c r="B249" s="5" t="s">
        <v>294</v>
      </c>
      <c r="C249" s="3">
        <v>39290</v>
      </c>
      <c r="D249" s="2" t="s">
        <v>295</v>
      </c>
      <c r="E249" s="4" t="s">
        <v>165</v>
      </c>
      <c r="F249" s="2" t="s">
        <v>54</v>
      </c>
      <c r="G249" s="2" t="s">
        <v>21</v>
      </c>
      <c r="K249" s="2" t="s">
        <v>67</v>
      </c>
      <c r="N249" s="4" t="s">
        <v>4</v>
      </c>
      <c r="O249" s="4" t="s">
        <v>5</v>
      </c>
      <c r="P249" s="2" t="s">
        <v>40</v>
      </c>
      <c r="Q249" s="2" t="s">
        <v>13</v>
      </c>
      <c r="R249" s="2" t="s">
        <v>16</v>
      </c>
      <c r="S249" s="2" t="s">
        <v>38</v>
      </c>
      <c r="T249" s="2" t="s">
        <v>46</v>
      </c>
      <c r="U249" s="2" t="s">
        <v>22</v>
      </c>
      <c r="W249" s="4">
        <v>0</v>
      </c>
      <c r="X249" s="4">
        <v>0.5</v>
      </c>
      <c r="Y249" s="4">
        <v>0.5</v>
      </c>
      <c r="Z249" s="4">
        <f t="shared" si="3"/>
        <v>1</v>
      </c>
      <c r="AA249" s="17" t="s">
        <v>297</v>
      </c>
    </row>
    <row r="250" spans="1:27" ht="14.45" customHeight="1" x14ac:dyDescent="0.25">
      <c r="A250" s="2" t="s">
        <v>882</v>
      </c>
      <c r="B250" s="6" t="s">
        <v>883</v>
      </c>
      <c r="C250" s="3">
        <v>39290</v>
      </c>
      <c r="D250" s="2" t="s">
        <v>884</v>
      </c>
      <c r="E250" s="4" t="s">
        <v>864</v>
      </c>
      <c r="F250" s="2" t="s">
        <v>21</v>
      </c>
      <c r="G250" s="2" t="s">
        <v>1032</v>
      </c>
      <c r="K250" s="2" t="s">
        <v>72</v>
      </c>
      <c r="L250" s="2" t="s">
        <v>61</v>
      </c>
      <c r="N250" s="4" t="s">
        <v>4</v>
      </c>
      <c r="O250" s="4" t="s">
        <v>5</v>
      </c>
      <c r="P250" s="2" t="s">
        <v>25</v>
      </c>
      <c r="Q250" s="2" t="s">
        <v>23</v>
      </c>
      <c r="R250" s="2" t="s">
        <v>38</v>
      </c>
      <c r="S250" s="2" t="s">
        <v>18</v>
      </c>
      <c r="W250" s="4">
        <v>0</v>
      </c>
      <c r="X250" s="4">
        <v>0.5</v>
      </c>
      <c r="Y250" s="4">
        <v>0</v>
      </c>
      <c r="Z250" s="4">
        <f t="shared" si="3"/>
        <v>0.5</v>
      </c>
    </row>
    <row r="251" spans="1:27" ht="14.45" customHeight="1" x14ac:dyDescent="0.25">
      <c r="A251" s="2" t="s">
        <v>571</v>
      </c>
      <c r="B251" s="6" t="s">
        <v>572</v>
      </c>
      <c r="C251" s="3">
        <v>39289</v>
      </c>
      <c r="D251" s="2" t="s">
        <v>573</v>
      </c>
      <c r="E251" s="4" t="s">
        <v>570</v>
      </c>
      <c r="F251" s="2" t="s">
        <v>45</v>
      </c>
      <c r="K251" s="2" t="s">
        <v>69</v>
      </c>
      <c r="L251" s="2" t="s">
        <v>67</v>
      </c>
      <c r="N251" s="4" t="s">
        <v>5</v>
      </c>
      <c r="P251" s="2" t="s">
        <v>36</v>
      </c>
      <c r="Q251" s="2" t="s">
        <v>40</v>
      </c>
      <c r="R251" s="2" t="s">
        <v>17</v>
      </c>
      <c r="S251" s="2" t="s">
        <v>38</v>
      </c>
      <c r="T251" s="2" t="s">
        <v>45</v>
      </c>
      <c r="W251" s="4">
        <v>0</v>
      </c>
      <c r="X251" s="4">
        <v>0</v>
      </c>
      <c r="Y251" s="4">
        <v>1</v>
      </c>
      <c r="Z251" s="4">
        <f t="shared" si="3"/>
        <v>1</v>
      </c>
    </row>
    <row r="252" spans="1:27" ht="14.45" customHeight="1" x14ac:dyDescent="0.25">
      <c r="A252" s="2" t="s">
        <v>298</v>
      </c>
      <c r="B252" s="6" t="s">
        <v>446</v>
      </c>
      <c r="C252" s="3">
        <v>39286</v>
      </c>
      <c r="D252" s="2" t="s">
        <v>299</v>
      </c>
      <c r="E252" s="4" t="s">
        <v>267</v>
      </c>
      <c r="F252" s="2" t="s">
        <v>54</v>
      </c>
      <c r="G252" s="2" t="s">
        <v>56</v>
      </c>
      <c r="K252" s="2" t="s">
        <v>73</v>
      </c>
      <c r="L252" s="2" t="s">
        <v>75</v>
      </c>
      <c r="N252" s="4" t="s">
        <v>5</v>
      </c>
      <c r="P252" s="2" t="s">
        <v>40</v>
      </c>
      <c r="Q252" s="2" t="s">
        <v>13</v>
      </c>
      <c r="R252" s="2" t="s">
        <v>38</v>
      </c>
      <c r="S252" s="2" t="s">
        <v>46</v>
      </c>
      <c r="T252" s="2" t="s">
        <v>22</v>
      </c>
      <c r="W252" s="4">
        <v>0.5</v>
      </c>
      <c r="X252" s="4">
        <v>0</v>
      </c>
      <c r="Y252" s="4">
        <v>0.5</v>
      </c>
      <c r="Z252" s="4">
        <f t="shared" si="3"/>
        <v>1</v>
      </c>
    </row>
    <row r="253" spans="1:27" ht="14.45" customHeight="1" x14ac:dyDescent="0.25">
      <c r="A253" s="2" t="s">
        <v>423</v>
      </c>
      <c r="B253" s="6" t="s">
        <v>445</v>
      </c>
      <c r="C253" s="3">
        <v>39286</v>
      </c>
      <c r="D253" s="2" t="s">
        <v>424</v>
      </c>
      <c r="E253" s="4" t="s">
        <v>422</v>
      </c>
      <c r="F253" s="2" t="s">
        <v>56</v>
      </c>
      <c r="G253" s="2" t="s">
        <v>21</v>
      </c>
      <c r="N253" s="4" t="s">
        <v>4</v>
      </c>
      <c r="P253" s="2" t="s">
        <v>25</v>
      </c>
      <c r="Q253" s="2" t="s">
        <v>17</v>
      </c>
      <c r="R253" s="2" t="s">
        <v>38</v>
      </c>
      <c r="W253" s="4">
        <v>0</v>
      </c>
      <c r="X253" s="4">
        <v>0</v>
      </c>
      <c r="Y253" s="4">
        <v>0</v>
      </c>
      <c r="Z253" s="4">
        <f t="shared" si="3"/>
        <v>0</v>
      </c>
    </row>
    <row r="254" spans="1:27" ht="14.45" customHeight="1" x14ac:dyDescent="0.25">
      <c r="A254" s="2" t="s">
        <v>886</v>
      </c>
      <c r="B254" s="6" t="s">
        <v>887</v>
      </c>
      <c r="C254" s="3">
        <v>39283</v>
      </c>
      <c r="D254" s="2" t="s">
        <v>888</v>
      </c>
      <c r="E254" s="4" t="s">
        <v>885</v>
      </c>
      <c r="F254" s="2" t="s">
        <v>21</v>
      </c>
      <c r="K254" s="2" t="s">
        <v>72</v>
      </c>
      <c r="L254" s="2" t="s">
        <v>74</v>
      </c>
      <c r="N254" s="4" t="s">
        <v>4</v>
      </c>
      <c r="O254" s="4" t="s">
        <v>8</v>
      </c>
      <c r="P254" s="2" t="s">
        <v>25</v>
      </c>
      <c r="Q254" s="2" t="s">
        <v>33</v>
      </c>
      <c r="R254" s="2" t="s">
        <v>38</v>
      </c>
      <c r="S254" s="2" t="s">
        <v>18</v>
      </c>
      <c r="W254" s="4">
        <v>0</v>
      </c>
      <c r="X254" s="4">
        <v>0.5</v>
      </c>
      <c r="Y254" s="4">
        <v>0</v>
      </c>
      <c r="Z254" s="4">
        <f t="shared" si="3"/>
        <v>0.5</v>
      </c>
    </row>
    <row r="255" spans="1:27" ht="14.45" customHeight="1" x14ac:dyDescent="0.25">
      <c r="A255" s="2" t="s">
        <v>889</v>
      </c>
      <c r="B255" s="6" t="s">
        <v>890</v>
      </c>
      <c r="C255" s="3">
        <v>39282</v>
      </c>
      <c r="D255" s="2" t="s">
        <v>891</v>
      </c>
      <c r="E255" s="4" t="s">
        <v>525</v>
      </c>
      <c r="F255" s="2" t="s">
        <v>21</v>
      </c>
      <c r="K255" s="2" t="s">
        <v>71</v>
      </c>
      <c r="L255" s="2" t="s">
        <v>68</v>
      </c>
      <c r="M255" s="2" t="s">
        <v>75</v>
      </c>
      <c r="N255" s="4" t="s">
        <v>5</v>
      </c>
      <c r="O255" s="4" t="s">
        <v>8</v>
      </c>
      <c r="P255" s="2" t="s">
        <v>25</v>
      </c>
      <c r="Q255" s="2" t="s">
        <v>17</v>
      </c>
      <c r="R255" s="2" t="s">
        <v>38</v>
      </c>
      <c r="S255" s="2" t="s">
        <v>43</v>
      </c>
      <c r="T255" s="2" t="s">
        <v>18</v>
      </c>
      <c r="W255" s="4">
        <v>0.5</v>
      </c>
      <c r="X255" s="4">
        <v>1</v>
      </c>
      <c r="Y255" s="4">
        <v>0.5</v>
      </c>
      <c r="Z255" s="4">
        <f t="shared" si="3"/>
        <v>2</v>
      </c>
    </row>
    <row r="256" spans="1:27" ht="14.45" customHeight="1" x14ac:dyDescent="0.25">
      <c r="A256" s="2" t="s">
        <v>892</v>
      </c>
      <c r="B256" s="6" t="s">
        <v>893</v>
      </c>
      <c r="C256" s="3">
        <v>39281</v>
      </c>
      <c r="D256" s="2" t="s">
        <v>894</v>
      </c>
      <c r="E256" s="4" t="s">
        <v>112</v>
      </c>
      <c r="F256" s="2" t="s">
        <v>21</v>
      </c>
      <c r="K256" s="2" t="s">
        <v>67</v>
      </c>
      <c r="L256" s="2" t="s">
        <v>68</v>
      </c>
      <c r="M256" s="2" t="s">
        <v>72</v>
      </c>
      <c r="N256" s="4" t="s">
        <v>4</v>
      </c>
      <c r="O256" s="4" t="s">
        <v>5</v>
      </c>
      <c r="P256" s="2" t="s">
        <v>36</v>
      </c>
      <c r="Q256" s="2" t="s">
        <v>17</v>
      </c>
      <c r="R256" s="2" t="s">
        <v>38</v>
      </c>
      <c r="W256" s="4">
        <v>0</v>
      </c>
      <c r="X256" s="4">
        <v>0.5</v>
      </c>
      <c r="Y256" s="4">
        <v>1</v>
      </c>
      <c r="Z256" s="4">
        <f t="shared" si="3"/>
        <v>1.5</v>
      </c>
    </row>
    <row r="257" spans="1:26" ht="14.45" customHeight="1" x14ac:dyDescent="0.25">
      <c r="A257" s="2" t="s">
        <v>896</v>
      </c>
      <c r="B257" s="6" t="s">
        <v>897</v>
      </c>
      <c r="C257" s="3">
        <v>39281</v>
      </c>
      <c r="D257" s="2" t="s">
        <v>898</v>
      </c>
      <c r="E257" s="4" t="s">
        <v>895</v>
      </c>
      <c r="F257" s="2" t="s">
        <v>21</v>
      </c>
      <c r="K257" s="2" t="s">
        <v>68</v>
      </c>
      <c r="N257" s="4" t="s">
        <v>4</v>
      </c>
      <c r="O257" s="4" t="s">
        <v>8</v>
      </c>
      <c r="P257" s="2" t="s">
        <v>25</v>
      </c>
      <c r="Q257" s="2" t="s">
        <v>13</v>
      </c>
      <c r="R257" s="2" t="s">
        <v>33</v>
      </c>
      <c r="S257" s="2" t="s">
        <v>44</v>
      </c>
      <c r="T257" s="2" t="s">
        <v>46</v>
      </c>
      <c r="W257" s="4">
        <v>0</v>
      </c>
      <c r="X257" s="4">
        <v>0</v>
      </c>
      <c r="Y257" s="4">
        <v>0.5</v>
      </c>
      <c r="Z257" s="4">
        <f t="shared" si="3"/>
        <v>0.5</v>
      </c>
    </row>
    <row r="258" spans="1:26" ht="14.45" customHeight="1" x14ac:dyDescent="0.25">
      <c r="A258" s="2" t="s">
        <v>1112</v>
      </c>
      <c r="B258" s="6" t="s">
        <v>1113</v>
      </c>
      <c r="C258" s="3">
        <v>39280</v>
      </c>
      <c r="D258" s="2" t="s">
        <v>1114</v>
      </c>
      <c r="E258" s="4" t="s">
        <v>525</v>
      </c>
      <c r="F258" s="2" t="s">
        <v>187</v>
      </c>
      <c r="K258" s="2" t="s">
        <v>62</v>
      </c>
      <c r="L258" s="2" t="s">
        <v>68</v>
      </c>
      <c r="N258" s="4" t="s">
        <v>5</v>
      </c>
      <c r="O258" s="4" t="s">
        <v>8</v>
      </c>
      <c r="P258" s="2" t="s">
        <v>25</v>
      </c>
      <c r="Q258" s="2" t="s">
        <v>33</v>
      </c>
      <c r="R258" s="2" t="s">
        <v>38</v>
      </c>
      <c r="S258" s="2" t="s">
        <v>20</v>
      </c>
      <c r="W258" s="4">
        <v>0.5</v>
      </c>
      <c r="X258" s="4">
        <v>0</v>
      </c>
      <c r="Y258" s="4">
        <v>0.5</v>
      </c>
      <c r="Z258" s="4">
        <f t="shared" si="3"/>
        <v>1</v>
      </c>
    </row>
    <row r="259" spans="1:26" ht="14.45" customHeight="1" x14ac:dyDescent="0.25">
      <c r="A259" s="2" t="s">
        <v>899</v>
      </c>
      <c r="B259" s="6" t="s">
        <v>900</v>
      </c>
      <c r="C259" s="3">
        <v>39279</v>
      </c>
      <c r="D259" s="2" t="s">
        <v>902</v>
      </c>
      <c r="E259" s="4" t="s">
        <v>901</v>
      </c>
      <c r="F259" s="2" t="s">
        <v>21</v>
      </c>
      <c r="K259" s="2" t="s">
        <v>68</v>
      </c>
      <c r="N259" s="4" t="s">
        <v>7</v>
      </c>
      <c r="O259" s="4" t="s">
        <v>8</v>
      </c>
      <c r="P259" s="2" t="s">
        <v>40</v>
      </c>
      <c r="Q259" s="2" t="s">
        <v>7</v>
      </c>
      <c r="R259" s="2" t="s">
        <v>17</v>
      </c>
      <c r="S259" s="2" t="s">
        <v>29</v>
      </c>
      <c r="T259" s="2" t="s">
        <v>43</v>
      </c>
      <c r="W259" s="4">
        <v>0</v>
      </c>
      <c r="X259" s="4">
        <v>0</v>
      </c>
      <c r="Y259" s="4">
        <v>0.5</v>
      </c>
      <c r="Z259" s="4">
        <f t="shared" si="3"/>
        <v>0.5</v>
      </c>
    </row>
    <row r="260" spans="1:26" ht="14.45" customHeight="1" x14ac:dyDescent="0.25">
      <c r="A260" s="2" t="s">
        <v>903</v>
      </c>
      <c r="B260" s="6" t="s">
        <v>904</v>
      </c>
      <c r="C260" s="3">
        <v>39279</v>
      </c>
      <c r="D260" s="2" t="s">
        <v>905</v>
      </c>
      <c r="E260" s="4" t="s">
        <v>901</v>
      </c>
      <c r="F260" s="2" t="s">
        <v>21</v>
      </c>
      <c r="K260" s="2" t="s">
        <v>68</v>
      </c>
      <c r="N260" s="4" t="s">
        <v>5</v>
      </c>
      <c r="O260" s="4" t="s">
        <v>8</v>
      </c>
      <c r="P260" s="2" t="s">
        <v>40</v>
      </c>
      <c r="Q260" s="2" t="s">
        <v>7</v>
      </c>
      <c r="R260" s="2" t="s">
        <v>17</v>
      </c>
      <c r="S260" s="2" t="s">
        <v>43</v>
      </c>
      <c r="T260" s="2" t="s">
        <v>19</v>
      </c>
      <c r="W260" s="4">
        <v>0</v>
      </c>
      <c r="X260" s="4">
        <v>0</v>
      </c>
      <c r="Y260" s="4">
        <v>0.5</v>
      </c>
      <c r="Z260" s="4">
        <f t="shared" si="3"/>
        <v>0.5</v>
      </c>
    </row>
    <row r="261" spans="1:26" ht="14.45" customHeight="1" x14ac:dyDescent="0.25">
      <c r="A261" s="2" t="s">
        <v>425</v>
      </c>
      <c r="B261" s="6" t="s">
        <v>444</v>
      </c>
      <c r="C261" s="3">
        <v>39260</v>
      </c>
      <c r="D261" s="2" t="s">
        <v>426</v>
      </c>
      <c r="E261" s="4" t="s">
        <v>288</v>
      </c>
      <c r="F261" s="2" t="s">
        <v>56</v>
      </c>
      <c r="K261" s="2" t="s">
        <v>69</v>
      </c>
      <c r="L261" s="2" t="s">
        <v>75</v>
      </c>
      <c r="M261" s="2" t="s">
        <v>72</v>
      </c>
      <c r="N261" s="4" t="s">
        <v>5</v>
      </c>
      <c r="P261" s="2" t="s">
        <v>25</v>
      </c>
      <c r="Q261" s="2" t="s">
        <v>45</v>
      </c>
      <c r="R261" s="2" t="s">
        <v>22</v>
      </c>
      <c r="S261" s="2" t="s">
        <v>18</v>
      </c>
      <c r="W261" s="4">
        <v>0.5</v>
      </c>
      <c r="X261" s="4">
        <v>0.5</v>
      </c>
      <c r="Y261" s="4">
        <v>1</v>
      </c>
      <c r="Z261" s="4">
        <f t="shared" ref="Z261:Z324" si="4">SUM(W261:Y261)</f>
        <v>2</v>
      </c>
    </row>
    <row r="262" spans="1:26" ht="14.45" customHeight="1" x14ac:dyDescent="0.25">
      <c r="A262" s="2" t="s">
        <v>427</v>
      </c>
      <c r="B262" s="6" t="s">
        <v>443</v>
      </c>
      <c r="C262" s="3">
        <v>39260</v>
      </c>
      <c r="D262" s="2" t="s">
        <v>428</v>
      </c>
      <c r="E262" s="4" t="s">
        <v>288</v>
      </c>
      <c r="F262" s="2" t="s">
        <v>56</v>
      </c>
      <c r="G262" s="2" t="s">
        <v>1032</v>
      </c>
      <c r="K262" s="2" t="s">
        <v>72</v>
      </c>
      <c r="L262" s="2" t="s">
        <v>69</v>
      </c>
      <c r="M262" s="2" t="s">
        <v>74</v>
      </c>
      <c r="N262" s="4" t="s">
        <v>4</v>
      </c>
      <c r="O262" s="4" t="s">
        <v>5</v>
      </c>
      <c r="P262" s="2" t="s">
        <v>25</v>
      </c>
      <c r="Q262" s="2" t="s">
        <v>40</v>
      </c>
      <c r="R262" s="2" t="s">
        <v>45</v>
      </c>
      <c r="S262" s="2" t="s">
        <v>18</v>
      </c>
      <c r="W262" s="4">
        <v>0</v>
      </c>
      <c r="X262" s="4">
        <v>1</v>
      </c>
      <c r="Y262" s="4">
        <v>1</v>
      </c>
      <c r="Z262" s="4">
        <f t="shared" si="4"/>
        <v>2</v>
      </c>
    </row>
    <row r="263" spans="1:26" ht="14.45" customHeight="1" x14ac:dyDescent="0.25">
      <c r="A263" s="2" t="s">
        <v>429</v>
      </c>
      <c r="B263" s="6" t="s">
        <v>442</v>
      </c>
      <c r="C263" s="3">
        <v>39260</v>
      </c>
      <c r="D263" s="2" t="s">
        <v>430</v>
      </c>
      <c r="E263" s="4" t="s">
        <v>288</v>
      </c>
      <c r="F263" s="2" t="s">
        <v>56</v>
      </c>
      <c r="K263" s="2" t="s">
        <v>69</v>
      </c>
      <c r="L263" s="2" t="s">
        <v>72</v>
      </c>
      <c r="N263" s="4" t="s">
        <v>4</v>
      </c>
      <c r="O263" s="4" t="s">
        <v>5</v>
      </c>
      <c r="P263" s="2" t="s">
        <v>25</v>
      </c>
      <c r="Q263" s="2" t="s">
        <v>36</v>
      </c>
      <c r="R263" s="2" t="s">
        <v>40</v>
      </c>
      <c r="S263" s="2" t="s">
        <v>45</v>
      </c>
      <c r="T263" s="2" t="s">
        <v>22</v>
      </c>
      <c r="W263" s="4">
        <v>0</v>
      </c>
      <c r="X263" s="4">
        <v>0.5</v>
      </c>
      <c r="Y263" s="4">
        <v>0.5</v>
      </c>
      <c r="Z263" s="4">
        <f t="shared" si="4"/>
        <v>1</v>
      </c>
    </row>
    <row r="264" spans="1:26" ht="14.45" customHeight="1" x14ac:dyDescent="0.25">
      <c r="A264" s="2" t="s">
        <v>431</v>
      </c>
      <c r="B264" s="5" t="s">
        <v>432</v>
      </c>
      <c r="C264" s="3">
        <v>39253</v>
      </c>
      <c r="D264" s="2" t="s">
        <v>433</v>
      </c>
      <c r="E264" s="4" t="s">
        <v>434</v>
      </c>
      <c r="F264" s="2" t="s">
        <v>56</v>
      </c>
      <c r="K264" s="2" t="s">
        <v>67</v>
      </c>
      <c r="L264" s="2" t="s">
        <v>72</v>
      </c>
      <c r="N264" s="4" t="s">
        <v>5</v>
      </c>
      <c r="O264" s="4" t="s">
        <v>8</v>
      </c>
      <c r="P264" s="2" t="s">
        <v>25</v>
      </c>
      <c r="Q264" s="2" t="s">
        <v>13</v>
      </c>
      <c r="R264" s="2" t="s">
        <v>16</v>
      </c>
      <c r="S264" s="2" t="s">
        <v>38</v>
      </c>
      <c r="T264" s="2" t="s">
        <v>34</v>
      </c>
      <c r="W264" s="4">
        <v>0</v>
      </c>
      <c r="X264" s="4">
        <v>0.5</v>
      </c>
      <c r="Y264" s="4">
        <v>0.5</v>
      </c>
      <c r="Z264" s="4">
        <f t="shared" si="4"/>
        <v>1</v>
      </c>
    </row>
    <row r="265" spans="1:26" ht="14.45" customHeight="1" x14ac:dyDescent="0.25">
      <c r="A265" s="2" t="s">
        <v>906</v>
      </c>
      <c r="B265" s="6" t="s">
        <v>907</v>
      </c>
      <c r="C265" s="3">
        <v>39253</v>
      </c>
      <c r="D265" s="2" t="s">
        <v>908</v>
      </c>
      <c r="E265" s="4" t="s">
        <v>434</v>
      </c>
      <c r="F265" s="2" t="s">
        <v>21</v>
      </c>
      <c r="K265" s="2" t="s">
        <v>72</v>
      </c>
      <c r="N265" s="4" t="s">
        <v>5</v>
      </c>
      <c r="O265" s="4" t="s">
        <v>8</v>
      </c>
      <c r="P265" s="2" t="s">
        <v>25</v>
      </c>
      <c r="Q265" s="2" t="s">
        <v>13</v>
      </c>
      <c r="R265" s="2" t="s">
        <v>16</v>
      </c>
      <c r="S265" s="2" t="s">
        <v>38</v>
      </c>
      <c r="T265" s="2" t="s">
        <v>18</v>
      </c>
      <c r="W265" s="4">
        <v>0</v>
      </c>
      <c r="X265" s="4">
        <v>0.5</v>
      </c>
      <c r="Y265" s="4">
        <v>0</v>
      </c>
      <c r="Z265" s="4">
        <f t="shared" si="4"/>
        <v>0.5</v>
      </c>
    </row>
    <row r="266" spans="1:26" ht="14.45" customHeight="1" x14ac:dyDescent="0.25">
      <c r="A266" s="2" t="s">
        <v>1156</v>
      </c>
      <c r="B266" s="6" t="s">
        <v>1157</v>
      </c>
      <c r="C266" s="3">
        <v>39248</v>
      </c>
      <c r="D266" s="2" t="s">
        <v>1158</v>
      </c>
      <c r="E266" s="4" t="s">
        <v>909</v>
      </c>
      <c r="F266" s="2" t="s">
        <v>1032</v>
      </c>
      <c r="K266" s="2" t="s">
        <v>69</v>
      </c>
      <c r="L266" s="2" t="s">
        <v>72</v>
      </c>
      <c r="M266" s="2" t="s">
        <v>73</v>
      </c>
      <c r="N266" s="4" t="s">
        <v>5</v>
      </c>
      <c r="O266" s="4" t="s">
        <v>6</v>
      </c>
      <c r="P266" s="2" t="s">
        <v>25</v>
      </c>
      <c r="Q266" s="2" t="s">
        <v>41</v>
      </c>
      <c r="R266" s="2" t="s">
        <v>7</v>
      </c>
      <c r="S266" s="2" t="s">
        <v>18</v>
      </c>
      <c r="W266" s="4">
        <v>0.5</v>
      </c>
      <c r="X266" s="4">
        <v>1</v>
      </c>
      <c r="Y266" s="4">
        <v>0.5</v>
      </c>
      <c r="Z266" s="4">
        <f t="shared" si="4"/>
        <v>2</v>
      </c>
    </row>
    <row r="267" spans="1:26" ht="14.45" customHeight="1" x14ac:dyDescent="0.25">
      <c r="A267" s="2" t="s">
        <v>461</v>
      </c>
      <c r="B267" s="6" t="s">
        <v>462</v>
      </c>
      <c r="C267" s="3">
        <v>39248</v>
      </c>
      <c r="D267" s="2" t="s">
        <v>463</v>
      </c>
      <c r="E267" s="4" t="s">
        <v>348</v>
      </c>
      <c r="F267" s="2" t="s">
        <v>56</v>
      </c>
      <c r="K267" s="2" t="s">
        <v>72</v>
      </c>
      <c r="L267" s="2" t="s">
        <v>67</v>
      </c>
      <c r="N267" s="4" t="s">
        <v>4</v>
      </c>
      <c r="O267" s="4" t="s">
        <v>5</v>
      </c>
      <c r="P267" s="2" t="s">
        <v>25</v>
      </c>
      <c r="Q267" s="2" t="s">
        <v>33</v>
      </c>
      <c r="W267" s="4">
        <v>0</v>
      </c>
      <c r="X267" s="4">
        <v>0.5</v>
      </c>
      <c r="Y267" s="4">
        <v>0.5</v>
      </c>
      <c r="Z267" s="4">
        <f t="shared" si="4"/>
        <v>1</v>
      </c>
    </row>
    <row r="268" spans="1:26" ht="14.45" customHeight="1" x14ac:dyDescent="0.25">
      <c r="A268" s="2" t="s">
        <v>435</v>
      </c>
      <c r="B268" s="6" t="s">
        <v>436</v>
      </c>
      <c r="C268" s="3">
        <v>39248</v>
      </c>
      <c r="D268" s="2" t="s">
        <v>460</v>
      </c>
      <c r="E268" s="4" t="s">
        <v>348</v>
      </c>
      <c r="F268" s="2" t="s">
        <v>56</v>
      </c>
      <c r="K268" s="2" t="s">
        <v>72</v>
      </c>
      <c r="L268" s="2" t="s">
        <v>73</v>
      </c>
      <c r="N268" s="4" t="s">
        <v>5</v>
      </c>
      <c r="P268" s="2" t="s">
        <v>25</v>
      </c>
      <c r="Q268" s="2" t="s">
        <v>33</v>
      </c>
      <c r="R268" s="2" t="s">
        <v>22</v>
      </c>
      <c r="W268" s="4">
        <v>0</v>
      </c>
      <c r="X268" s="4">
        <v>0.5</v>
      </c>
      <c r="Y268" s="4">
        <v>0</v>
      </c>
      <c r="Z268" s="4">
        <f t="shared" si="4"/>
        <v>0.5</v>
      </c>
    </row>
    <row r="269" spans="1:26" ht="14.45" customHeight="1" x14ac:dyDescent="0.25">
      <c r="A269" s="2" t="s">
        <v>910</v>
      </c>
      <c r="B269" s="6" t="s">
        <v>911</v>
      </c>
      <c r="C269" s="3">
        <v>39248</v>
      </c>
      <c r="D269" s="2" t="s">
        <v>912</v>
      </c>
      <c r="E269" s="4" t="s">
        <v>909</v>
      </c>
      <c r="F269" s="2" t="s">
        <v>21</v>
      </c>
      <c r="K269" s="2" t="s">
        <v>75</v>
      </c>
      <c r="N269" s="4" t="s">
        <v>7</v>
      </c>
      <c r="O269" s="4" t="s">
        <v>8</v>
      </c>
      <c r="P269" s="2" t="s">
        <v>25</v>
      </c>
      <c r="Q269" s="2" t="s">
        <v>7</v>
      </c>
      <c r="R269" s="2" t="s">
        <v>17</v>
      </c>
      <c r="S269" s="2" t="s">
        <v>24</v>
      </c>
      <c r="T269" s="2" t="s">
        <v>21</v>
      </c>
      <c r="W269" s="4">
        <v>0.5</v>
      </c>
      <c r="X269" s="4">
        <v>0</v>
      </c>
      <c r="Y269" s="4">
        <v>0</v>
      </c>
      <c r="Z269" s="4">
        <f t="shared" si="4"/>
        <v>0.5</v>
      </c>
    </row>
    <row r="270" spans="1:26" ht="14.45" customHeight="1" x14ac:dyDescent="0.25">
      <c r="A270" s="2" t="s">
        <v>1159</v>
      </c>
      <c r="B270" s="6" t="s">
        <v>1160</v>
      </c>
      <c r="C270" s="3">
        <v>39236</v>
      </c>
      <c r="D270" s="2" t="s">
        <v>1161</v>
      </c>
      <c r="E270" s="4" t="s">
        <v>270</v>
      </c>
      <c r="F270" s="2" t="s">
        <v>1032</v>
      </c>
      <c r="K270" s="2" t="s">
        <v>72</v>
      </c>
      <c r="L270" s="2" t="s">
        <v>69</v>
      </c>
      <c r="N270" s="4" t="s">
        <v>5</v>
      </c>
      <c r="O270" s="4" t="s">
        <v>6</v>
      </c>
      <c r="P270" s="2" t="s">
        <v>40</v>
      </c>
      <c r="Q270" s="2" t="s">
        <v>38</v>
      </c>
      <c r="R270" s="2" t="s">
        <v>45</v>
      </c>
      <c r="S270" s="2" t="s">
        <v>18</v>
      </c>
      <c r="W270" s="4">
        <v>0</v>
      </c>
      <c r="X270" s="4">
        <v>0.5</v>
      </c>
      <c r="Y270" s="4">
        <v>0.5</v>
      </c>
      <c r="Z270" s="4">
        <f t="shared" si="4"/>
        <v>1</v>
      </c>
    </row>
    <row r="271" spans="1:26" ht="14.45" customHeight="1" x14ac:dyDescent="0.25">
      <c r="A271" s="2" t="s">
        <v>922</v>
      </c>
      <c r="B271" s="6" t="s">
        <v>923</v>
      </c>
      <c r="C271" s="3">
        <v>39234</v>
      </c>
      <c r="D271" s="2" t="s">
        <v>924</v>
      </c>
      <c r="E271" s="4" t="s">
        <v>226</v>
      </c>
      <c r="F271" s="2" t="s">
        <v>21</v>
      </c>
      <c r="K271" s="2" t="s">
        <v>67</v>
      </c>
      <c r="L271" s="2" t="s">
        <v>68</v>
      </c>
      <c r="M271" s="2" t="s">
        <v>69</v>
      </c>
      <c r="N271" s="4" t="s">
        <v>4</v>
      </c>
      <c r="O271" s="4" t="s">
        <v>5</v>
      </c>
      <c r="P271" s="2" t="s">
        <v>25</v>
      </c>
      <c r="Q271" s="2" t="s">
        <v>36</v>
      </c>
      <c r="R271" s="2" t="s">
        <v>40</v>
      </c>
      <c r="S271" s="2" t="s">
        <v>17</v>
      </c>
      <c r="T271" s="2" t="s">
        <v>33</v>
      </c>
      <c r="U271" s="2" t="s">
        <v>34</v>
      </c>
      <c r="W271" s="4">
        <v>0</v>
      </c>
      <c r="X271" s="4">
        <v>0</v>
      </c>
      <c r="Y271" s="4">
        <v>1</v>
      </c>
      <c r="Z271" s="4">
        <f t="shared" si="4"/>
        <v>1</v>
      </c>
    </row>
    <row r="272" spans="1:26" ht="14.45" customHeight="1" x14ac:dyDescent="0.25">
      <c r="A272" s="2" t="s">
        <v>916</v>
      </c>
      <c r="B272" s="6" t="s">
        <v>917</v>
      </c>
      <c r="C272" s="3">
        <v>39234</v>
      </c>
      <c r="D272" s="2" t="s">
        <v>918</v>
      </c>
      <c r="E272" s="4" t="s">
        <v>226</v>
      </c>
      <c r="F272" s="2" t="s">
        <v>21</v>
      </c>
      <c r="K272" s="2" t="s">
        <v>68</v>
      </c>
      <c r="L272" s="2" t="s">
        <v>72</v>
      </c>
      <c r="N272" s="4" t="s">
        <v>5</v>
      </c>
      <c r="O272" s="4" t="s">
        <v>8</v>
      </c>
      <c r="P272" s="2" t="s">
        <v>25</v>
      </c>
      <c r="Q272" s="2" t="s">
        <v>33</v>
      </c>
      <c r="R272" s="2" t="s">
        <v>43</v>
      </c>
      <c r="S272" s="2" t="s">
        <v>46</v>
      </c>
      <c r="W272" s="4">
        <v>0</v>
      </c>
      <c r="X272" s="4">
        <v>0.5</v>
      </c>
      <c r="Y272" s="4">
        <v>0.5</v>
      </c>
      <c r="Z272" s="4">
        <f t="shared" si="4"/>
        <v>1</v>
      </c>
    </row>
    <row r="273" spans="1:26" ht="14.45" customHeight="1" x14ac:dyDescent="0.25">
      <c r="A273" s="2" t="s">
        <v>913</v>
      </c>
      <c r="B273" s="6" t="s">
        <v>914</v>
      </c>
      <c r="C273" s="3">
        <v>39234</v>
      </c>
      <c r="D273" s="2" t="s">
        <v>915</v>
      </c>
      <c r="E273" s="4" t="s">
        <v>775</v>
      </c>
      <c r="F273" s="2" t="s">
        <v>21</v>
      </c>
      <c r="K273" s="2" t="s">
        <v>68</v>
      </c>
      <c r="N273" s="4" t="s">
        <v>7</v>
      </c>
      <c r="O273" s="4" t="s">
        <v>8</v>
      </c>
      <c r="P273" s="2" t="s">
        <v>36</v>
      </c>
      <c r="Q273" s="2" t="s">
        <v>41</v>
      </c>
      <c r="R273" s="2" t="s">
        <v>17</v>
      </c>
      <c r="S273" s="2" t="s">
        <v>43</v>
      </c>
      <c r="T273" s="2" t="s">
        <v>45</v>
      </c>
      <c r="W273" s="4">
        <v>0</v>
      </c>
      <c r="X273" s="4">
        <v>0</v>
      </c>
      <c r="Y273" s="4">
        <v>0.5</v>
      </c>
      <c r="Z273" s="4">
        <f t="shared" si="4"/>
        <v>0.5</v>
      </c>
    </row>
    <row r="274" spans="1:26" ht="14.45" customHeight="1" x14ac:dyDescent="0.25">
      <c r="A274" s="2" t="s">
        <v>919</v>
      </c>
      <c r="B274" s="6" t="s">
        <v>920</v>
      </c>
      <c r="C274" s="3">
        <v>39234</v>
      </c>
      <c r="D274" s="2" t="s">
        <v>921</v>
      </c>
      <c r="E274" s="4" t="s">
        <v>226</v>
      </c>
      <c r="F274" s="2" t="s">
        <v>21</v>
      </c>
      <c r="K274" s="2" t="s">
        <v>68</v>
      </c>
      <c r="N274" s="4" t="s">
        <v>5</v>
      </c>
      <c r="O274" s="4" t="s">
        <v>8</v>
      </c>
      <c r="P274" s="2" t="s">
        <v>25</v>
      </c>
      <c r="Q274" s="2" t="s">
        <v>17</v>
      </c>
      <c r="R274" s="2" t="s">
        <v>33</v>
      </c>
      <c r="S274" s="2" t="s">
        <v>43</v>
      </c>
      <c r="W274" s="4">
        <v>0</v>
      </c>
      <c r="X274" s="4">
        <v>0</v>
      </c>
      <c r="Y274" s="4">
        <v>0.5</v>
      </c>
      <c r="Z274" s="4">
        <f t="shared" si="4"/>
        <v>0.5</v>
      </c>
    </row>
    <row r="275" spans="1:26" ht="14.45" customHeight="1" x14ac:dyDescent="0.25">
      <c r="A275" s="2" t="s">
        <v>465</v>
      </c>
      <c r="B275" s="6" t="s">
        <v>466</v>
      </c>
      <c r="C275" s="3">
        <v>39226</v>
      </c>
      <c r="D275" s="2" t="s">
        <v>467</v>
      </c>
      <c r="E275" s="4" t="s">
        <v>464</v>
      </c>
      <c r="F275" s="2" t="s">
        <v>56</v>
      </c>
      <c r="G275" s="2" t="s">
        <v>21</v>
      </c>
      <c r="K275" s="2" t="s">
        <v>72</v>
      </c>
      <c r="L275" s="2" t="s">
        <v>67</v>
      </c>
      <c r="M275" s="2" t="s">
        <v>75</v>
      </c>
      <c r="N275" s="4" t="s">
        <v>5</v>
      </c>
      <c r="P275" s="2" t="s">
        <v>25</v>
      </c>
      <c r="Q275" s="2" t="s">
        <v>33</v>
      </c>
      <c r="R275" s="2" t="s">
        <v>43</v>
      </c>
      <c r="S275" s="2" t="s">
        <v>48</v>
      </c>
      <c r="T275" s="2" t="s">
        <v>39</v>
      </c>
      <c r="W275" s="4">
        <v>0.5</v>
      </c>
      <c r="X275" s="4">
        <v>0.5</v>
      </c>
      <c r="Y275" s="4">
        <v>0.5</v>
      </c>
      <c r="Z275" s="4">
        <f t="shared" si="4"/>
        <v>1.5</v>
      </c>
    </row>
    <row r="276" spans="1:26" ht="14.45" customHeight="1" x14ac:dyDescent="0.25">
      <c r="A276" s="2" t="s">
        <v>1162</v>
      </c>
      <c r="B276" s="6" t="s">
        <v>1163</v>
      </c>
      <c r="C276" s="3">
        <v>39226</v>
      </c>
      <c r="D276" s="2" t="s">
        <v>1164</v>
      </c>
      <c r="E276" s="4" t="s">
        <v>464</v>
      </c>
      <c r="F276" s="2" t="s">
        <v>1032</v>
      </c>
      <c r="K276" s="2" t="s">
        <v>72</v>
      </c>
      <c r="L276" s="2" t="s">
        <v>67</v>
      </c>
      <c r="M276" s="2" t="s">
        <v>61</v>
      </c>
      <c r="N276" s="4" t="s">
        <v>4</v>
      </c>
      <c r="O276" s="4" t="s">
        <v>5</v>
      </c>
      <c r="P276" s="2" t="s">
        <v>25</v>
      </c>
      <c r="Q276" s="2" t="s">
        <v>40</v>
      </c>
      <c r="R276" s="2" t="s">
        <v>33</v>
      </c>
      <c r="S276" s="2" t="s">
        <v>43</v>
      </c>
      <c r="T276" s="2" t="s">
        <v>45</v>
      </c>
      <c r="U276" s="2" t="s">
        <v>18</v>
      </c>
      <c r="W276" s="4">
        <v>0.5</v>
      </c>
      <c r="X276" s="4">
        <v>0.5</v>
      </c>
      <c r="Y276" s="4">
        <v>0.5</v>
      </c>
      <c r="Z276" s="4">
        <f t="shared" si="4"/>
        <v>1.5</v>
      </c>
    </row>
    <row r="277" spans="1:26" ht="14.45" customHeight="1" x14ac:dyDescent="0.25">
      <c r="A277" s="2" t="s">
        <v>925</v>
      </c>
      <c r="B277" s="6" t="s">
        <v>926</v>
      </c>
      <c r="C277" s="3">
        <v>39226</v>
      </c>
      <c r="D277" s="2" t="s">
        <v>927</v>
      </c>
      <c r="E277" s="4" t="s">
        <v>418</v>
      </c>
      <c r="F277" s="2" t="s">
        <v>21</v>
      </c>
      <c r="N277" s="4" t="s">
        <v>4</v>
      </c>
      <c r="O277" s="4" t="s">
        <v>5</v>
      </c>
      <c r="P277" s="2" t="s">
        <v>25</v>
      </c>
      <c r="Q277" s="2" t="s">
        <v>33</v>
      </c>
      <c r="R277" s="2" t="s">
        <v>38</v>
      </c>
      <c r="W277" s="4">
        <v>0</v>
      </c>
      <c r="X277" s="4">
        <v>0</v>
      </c>
      <c r="Y277" s="4">
        <v>0</v>
      </c>
      <c r="Z277" s="4">
        <f t="shared" si="4"/>
        <v>0</v>
      </c>
    </row>
    <row r="278" spans="1:26" ht="14.45" customHeight="1" x14ac:dyDescent="0.25">
      <c r="A278" s="2" t="s">
        <v>928</v>
      </c>
      <c r="B278" s="6" t="s">
        <v>929</v>
      </c>
      <c r="C278" s="3">
        <v>39213</v>
      </c>
      <c r="D278" s="2" t="s">
        <v>930</v>
      </c>
      <c r="E278" s="4" t="s">
        <v>142</v>
      </c>
      <c r="F278" s="2" t="s">
        <v>21</v>
      </c>
      <c r="K278" s="2" t="s">
        <v>62</v>
      </c>
      <c r="N278" s="4" t="s">
        <v>8</v>
      </c>
      <c r="O278" s="4" t="s">
        <v>5</v>
      </c>
      <c r="P278" s="2" t="s">
        <v>14</v>
      </c>
      <c r="Q278" s="2" t="s">
        <v>46</v>
      </c>
      <c r="R278" s="2" t="s">
        <v>21</v>
      </c>
      <c r="W278" s="4">
        <v>0.5</v>
      </c>
      <c r="X278" s="4">
        <v>0</v>
      </c>
      <c r="Y278" s="4">
        <v>0</v>
      </c>
      <c r="Z278" s="4">
        <f t="shared" si="4"/>
        <v>0.5</v>
      </c>
    </row>
    <row r="279" spans="1:26" ht="14.45" customHeight="1" x14ac:dyDescent="0.25">
      <c r="A279" s="2" t="s">
        <v>934</v>
      </c>
      <c r="B279" s="6" t="s">
        <v>935</v>
      </c>
      <c r="C279" s="3">
        <v>39213</v>
      </c>
      <c r="D279" s="2" t="s">
        <v>936</v>
      </c>
      <c r="E279" s="4" t="s">
        <v>142</v>
      </c>
      <c r="F279" s="2" t="s">
        <v>21</v>
      </c>
      <c r="K279" s="2" t="s">
        <v>62</v>
      </c>
      <c r="N279" s="4" t="s">
        <v>5</v>
      </c>
      <c r="O279" s="4" t="s">
        <v>8</v>
      </c>
      <c r="P279" s="2" t="s">
        <v>14</v>
      </c>
      <c r="Q279" s="2" t="s">
        <v>46</v>
      </c>
      <c r="R279" s="2" t="s">
        <v>21</v>
      </c>
      <c r="W279" s="4">
        <v>0.5</v>
      </c>
      <c r="X279" s="4">
        <v>0</v>
      </c>
      <c r="Y279" s="4">
        <v>0</v>
      </c>
      <c r="Z279" s="4">
        <f t="shared" si="4"/>
        <v>0.5</v>
      </c>
    </row>
    <row r="280" spans="1:26" ht="14.45" customHeight="1" x14ac:dyDescent="0.25">
      <c r="A280" s="2" t="s">
        <v>931</v>
      </c>
      <c r="B280" s="6" t="s">
        <v>932</v>
      </c>
      <c r="C280" s="3">
        <v>39213</v>
      </c>
      <c r="D280" s="2" t="s">
        <v>933</v>
      </c>
      <c r="E280" s="4" t="s">
        <v>142</v>
      </c>
      <c r="F280" s="2" t="s">
        <v>21</v>
      </c>
      <c r="K280" s="2" t="s">
        <v>581</v>
      </c>
      <c r="N280" s="4" t="s">
        <v>5</v>
      </c>
      <c r="O280" s="4" t="s">
        <v>6</v>
      </c>
      <c r="P280" s="2" t="s">
        <v>14</v>
      </c>
      <c r="Q280" s="2" t="s">
        <v>38</v>
      </c>
      <c r="R280" s="2" t="s">
        <v>21</v>
      </c>
      <c r="W280" s="4">
        <v>0.5</v>
      </c>
      <c r="X280" s="4">
        <v>0</v>
      </c>
      <c r="Y280" s="4">
        <v>0</v>
      </c>
      <c r="Z280" s="4">
        <f t="shared" si="4"/>
        <v>0.5</v>
      </c>
    </row>
    <row r="281" spans="1:26" ht="14.45" customHeight="1" x14ac:dyDescent="0.25">
      <c r="A281" s="2" t="s">
        <v>937</v>
      </c>
      <c r="B281" s="6" t="s">
        <v>938</v>
      </c>
      <c r="C281" s="3">
        <v>39181</v>
      </c>
      <c r="D281" s="2" t="s">
        <v>939</v>
      </c>
      <c r="E281" s="4" t="s">
        <v>137</v>
      </c>
      <c r="F281" s="2" t="s">
        <v>21</v>
      </c>
      <c r="K281" s="2" t="s">
        <v>68</v>
      </c>
      <c r="L281" s="2" t="s">
        <v>60</v>
      </c>
      <c r="N281" s="4" t="s">
        <v>4</v>
      </c>
      <c r="O281" s="4" t="s">
        <v>5</v>
      </c>
      <c r="P281" s="2" t="s">
        <v>14</v>
      </c>
      <c r="Q281" s="2" t="s">
        <v>38</v>
      </c>
      <c r="R281" s="2" t="s">
        <v>43</v>
      </c>
      <c r="S281" s="2" t="s">
        <v>46</v>
      </c>
      <c r="W281" s="4">
        <v>0</v>
      </c>
      <c r="X281" s="4">
        <v>0</v>
      </c>
      <c r="Y281" s="4">
        <v>0.5</v>
      </c>
      <c r="Z281" s="4">
        <f t="shared" si="4"/>
        <v>0.5</v>
      </c>
    </row>
    <row r="282" spans="1:26" ht="14.45" customHeight="1" x14ac:dyDescent="0.25">
      <c r="A282" s="2" t="s">
        <v>300</v>
      </c>
      <c r="B282" s="6" t="s">
        <v>437</v>
      </c>
      <c r="C282" s="3">
        <v>39162</v>
      </c>
      <c r="D282" s="2" t="s">
        <v>301</v>
      </c>
      <c r="E282" s="4" t="s">
        <v>172</v>
      </c>
      <c r="F282" s="2" t="s">
        <v>54</v>
      </c>
      <c r="G282" s="2" t="s">
        <v>21</v>
      </c>
      <c r="K282" s="2" t="s">
        <v>64</v>
      </c>
      <c r="L282" s="2" t="s">
        <v>62</v>
      </c>
      <c r="N282" s="4" t="s">
        <v>7</v>
      </c>
      <c r="O282" s="4" t="s">
        <v>9</v>
      </c>
      <c r="P282" s="2" t="s">
        <v>25</v>
      </c>
      <c r="Q282" s="2" t="s">
        <v>7</v>
      </c>
      <c r="R282" s="2" t="s">
        <v>17</v>
      </c>
      <c r="S282" s="2" t="s">
        <v>31</v>
      </c>
      <c r="W282" s="4">
        <v>1</v>
      </c>
      <c r="X282" s="4">
        <v>0.5</v>
      </c>
      <c r="Y282" s="4">
        <v>0</v>
      </c>
      <c r="Z282" s="4">
        <f t="shared" si="4"/>
        <v>1.5</v>
      </c>
    </row>
    <row r="283" spans="1:26" ht="14.45" customHeight="1" x14ac:dyDescent="0.25">
      <c r="A283" s="2" t="s">
        <v>303</v>
      </c>
      <c r="B283" s="6" t="s">
        <v>438</v>
      </c>
      <c r="C283" s="3">
        <v>39162</v>
      </c>
      <c r="D283" s="2" t="s">
        <v>304</v>
      </c>
      <c r="E283" s="4" t="s">
        <v>302</v>
      </c>
      <c r="F283" s="2" t="s">
        <v>54</v>
      </c>
      <c r="K283" s="2" t="s">
        <v>72</v>
      </c>
      <c r="L283" s="2" t="s">
        <v>62</v>
      </c>
      <c r="N283" s="4" t="s">
        <v>7</v>
      </c>
      <c r="O283" s="4" t="s">
        <v>9</v>
      </c>
      <c r="P283" s="2" t="s">
        <v>7</v>
      </c>
      <c r="Q283" s="2" t="s">
        <v>15</v>
      </c>
      <c r="R283" s="2" t="s">
        <v>22</v>
      </c>
      <c r="S283" s="2" t="s">
        <v>20</v>
      </c>
      <c r="T283" s="2" t="s">
        <v>21</v>
      </c>
      <c r="W283" s="4">
        <v>0.5</v>
      </c>
      <c r="X283" s="4">
        <v>0.5</v>
      </c>
      <c r="Y283" s="4">
        <v>0</v>
      </c>
      <c r="Z283" s="4">
        <f t="shared" si="4"/>
        <v>1</v>
      </c>
    </row>
    <row r="284" spans="1:26" ht="14.45" customHeight="1" x14ac:dyDescent="0.25">
      <c r="A284" s="2" t="s">
        <v>1116</v>
      </c>
      <c r="B284" s="6" t="s">
        <v>1117</v>
      </c>
      <c r="C284" s="3">
        <v>39162</v>
      </c>
      <c r="D284" s="2" t="s">
        <v>1118</v>
      </c>
      <c r="E284" s="4" t="s">
        <v>1115</v>
      </c>
      <c r="F284" s="2" t="s">
        <v>187</v>
      </c>
      <c r="K284" s="2" t="s">
        <v>72</v>
      </c>
      <c r="N284" s="4" t="s">
        <v>7</v>
      </c>
      <c r="O284" s="4" t="s">
        <v>9</v>
      </c>
      <c r="P284" s="2" t="s">
        <v>25</v>
      </c>
      <c r="Q284" s="2" t="s">
        <v>7</v>
      </c>
      <c r="R284" s="2" t="s">
        <v>17</v>
      </c>
      <c r="S284" s="2" t="s">
        <v>15</v>
      </c>
      <c r="W284" s="4">
        <v>0</v>
      </c>
      <c r="X284" s="4">
        <v>0.5</v>
      </c>
      <c r="Y284" s="4">
        <v>0</v>
      </c>
      <c r="Z284" s="4">
        <f t="shared" si="4"/>
        <v>0.5</v>
      </c>
    </row>
    <row r="285" spans="1:26" ht="14.45" customHeight="1" x14ac:dyDescent="0.25">
      <c r="A285" s="2" t="s">
        <v>952</v>
      </c>
      <c r="B285" s="6" t="s">
        <v>953</v>
      </c>
      <c r="C285" s="3">
        <v>39162</v>
      </c>
      <c r="D285" s="2" t="s">
        <v>954</v>
      </c>
      <c r="E285" s="4" t="s">
        <v>620</v>
      </c>
      <c r="F285" s="2" t="s">
        <v>21</v>
      </c>
      <c r="K285" s="2" t="s">
        <v>75</v>
      </c>
      <c r="N285" s="4" t="s">
        <v>7</v>
      </c>
      <c r="O285" s="4" t="s">
        <v>8</v>
      </c>
      <c r="P285" s="2" t="s">
        <v>25</v>
      </c>
      <c r="Q285" s="2" t="s">
        <v>7</v>
      </c>
      <c r="R285" s="2" t="s">
        <v>17</v>
      </c>
      <c r="S285" s="2" t="s">
        <v>24</v>
      </c>
      <c r="T285" s="2" t="s">
        <v>27</v>
      </c>
      <c r="W285" s="4">
        <v>0.5</v>
      </c>
      <c r="X285" s="4">
        <v>0</v>
      </c>
      <c r="Y285" s="4">
        <v>0</v>
      </c>
      <c r="Z285" s="4">
        <f t="shared" si="4"/>
        <v>0.5</v>
      </c>
    </row>
    <row r="286" spans="1:26" ht="14.45" customHeight="1" x14ac:dyDescent="0.25">
      <c r="A286" s="2" t="s">
        <v>1119</v>
      </c>
      <c r="B286" s="6" t="s">
        <v>1120</v>
      </c>
      <c r="C286" s="3">
        <v>39162</v>
      </c>
      <c r="D286" s="2" t="s">
        <v>1121</v>
      </c>
      <c r="E286" s="4" t="s">
        <v>948</v>
      </c>
      <c r="F286" s="2" t="s">
        <v>187</v>
      </c>
      <c r="N286" s="4" t="s">
        <v>7</v>
      </c>
      <c r="O286" s="4" t="s">
        <v>9</v>
      </c>
      <c r="P286" s="2" t="s">
        <v>25</v>
      </c>
      <c r="Q286" s="2" t="s">
        <v>7</v>
      </c>
      <c r="R286" s="2" t="s">
        <v>17</v>
      </c>
      <c r="S286" s="2" t="s">
        <v>24</v>
      </c>
      <c r="W286" s="4">
        <v>0</v>
      </c>
      <c r="X286" s="4">
        <v>0</v>
      </c>
      <c r="Y286" s="4">
        <v>0</v>
      </c>
      <c r="Z286" s="4">
        <f t="shared" si="4"/>
        <v>0</v>
      </c>
    </row>
    <row r="287" spans="1:26" ht="14.45" customHeight="1" x14ac:dyDescent="0.25">
      <c r="A287" s="2" t="s">
        <v>169</v>
      </c>
      <c r="B287" s="5" t="s">
        <v>170</v>
      </c>
      <c r="C287" s="3">
        <v>39162</v>
      </c>
      <c r="D287" s="2" t="s">
        <v>171</v>
      </c>
      <c r="E287" s="4" t="s">
        <v>172</v>
      </c>
      <c r="F287" s="2" t="s">
        <v>55</v>
      </c>
      <c r="G287" s="2" t="s">
        <v>21</v>
      </c>
      <c r="N287" s="4" t="s">
        <v>7</v>
      </c>
      <c r="O287" s="4" t="s">
        <v>9</v>
      </c>
      <c r="P287" s="2" t="s">
        <v>25</v>
      </c>
      <c r="Q287" s="2" t="s">
        <v>17</v>
      </c>
      <c r="R287" s="2" t="s">
        <v>31</v>
      </c>
      <c r="S287" s="2" t="s">
        <v>35</v>
      </c>
      <c r="W287" s="4">
        <v>0</v>
      </c>
      <c r="X287" s="4">
        <v>0</v>
      </c>
      <c r="Y287" s="4">
        <v>0</v>
      </c>
      <c r="Z287" s="4">
        <f t="shared" si="4"/>
        <v>0</v>
      </c>
    </row>
    <row r="288" spans="1:26" ht="14.45" customHeight="1" x14ac:dyDescent="0.25">
      <c r="A288" s="2" t="s">
        <v>942</v>
      </c>
      <c r="B288" s="6" t="s">
        <v>943</v>
      </c>
      <c r="C288" s="3">
        <v>39162</v>
      </c>
      <c r="D288" s="2" t="s">
        <v>941</v>
      </c>
      <c r="E288" s="4" t="s">
        <v>940</v>
      </c>
      <c r="F288" s="2" t="s">
        <v>21</v>
      </c>
      <c r="N288" s="4" t="s">
        <v>9</v>
      </c>
      <c r="O288" s="4" t="s">
        <v>7</v>
      </c>
      <c r="P288" s="2" t="s">
        <v>25</v>
      </c>
      <c r="Q288" s="2" t="s">
        <v>7</v>
      </c>
      <c r="R288" s="2" t="s">
        <v>17</v>
      </c>
      <c r="S288" s="2" t="s">
        <v>31</v>
      </c>
      <c r="W288" s="4">
        <v>0</v>
      </c>
      <c r="X288" s="4">
        <v>0</v>
      </c>
      <c r="Y288" s="4">
        <v>0</v>
      </c>
      <c r="Z288" s="4">
        <f t="shared" si="4"/>
        <v>0</v>
      </c>
    </row>
    <row r="289" spans="1:26" ht="14.45" customHeight="1" x14ac:dyDescent="0.25">
      <c r="A289" s="2" t="s">
        <v>945</v>
      </c>
      <c r="B289" s="6" t="s">
        <v>946</v>
      </c>
      <c r="C289" s="3">
        <v>39162</v>
      </c>
      <c r="D289" s="2" t="s">
        <v>947</v>
      </c>
      <c r="E289" s="4" t="s">
        <v>944</v>
      </c>
      <c r="F289" s="2" t="s">
        <v>21</v>
      </c>
      <c r="N289" s="4" t="s">
        <v>8</v>
      </c>
      <c r="O289" s="4" t="s">
        <v>5</v>
      </c>
      <c r="P289" s="2" t="s">
        <v>25</v>
      </c>
      <c r="Q289" s="2" t="s">
        <v>7</v>
      </c>
      <c r="R289" s="2" t="s">
        <v>17</v>
      </c>
      <c r="S289" s="2" t="s">
        <v>35</v>
      </c>
      <c r="T289" s="2" t="s">
        <v>22</v>
      </c>
      <c r="W289" s="4">
        <v>0</v>
      </c>
      <c r="X289" s="4">
        <v>0</v>
      </c>
      <c r="Y289" s="4">
        <v>0</v>
      </c>
      <c r="Z289" s="4">
        <f t="shared" si="4"/>
        <v>0</v>
      </c>
    </row>
    <row r="290" spans="1:26" ht="14.45" customHeight="1" x14ac:dyDescent="0.25">
      <c r="A290" s="2" t="s">
        <v>949</v>
      </c>
      <c r="B290" s="6" t="s">
        <v>950</v>
      </c>
      <c r="C290" s="3">
        <v>39162</v>
      </c>
      <c r="D290" s="2" t="s">
        <v>951</v>
      </c>
      <c r="E290" s="4" t="s">
        <v>948</v>
      </c>
      <c r="F290" s="2" t="s">
        <v>21</v>
      </c>
      <c r="N290" s="4" t="s">
        <v>7</v>
      </c>
      <c r="O290" s="4" t="s">
        <v>9</v>
      </c>
      <c r="P290" s="2" t="s">
        <v>25</v>
      </c>
      <c r="Q290" s="2" t="s">
        <v>17</v>
      </c>
      <c r="R290" s="2" t="s">
        <v>24</v>
      </c>
      <c r="S290" s="2" t="s">
        <v>15</v>
      </c>
      <c r="W290" s="4">
        <v>0</v>
      </c>
      <c r="X290" s="4">
        <v>0</v>
      </c>
      <c r="Y290" s="4">
        <v>0</v>
      </c>
      <c r="Z290" s="4">
        <f t="shared" si="4"/>
        <v>0</v>
      </c>
    </row>
    <row r="291" spans="1:26" ht="14.45" customHeight="1" x14ac:dyDescent="0.25">
      <c r="A291" s="2" t="s">
        <v>955</v>
      </c>
      <c r="B291" s="6" t="s">
        <v>956</v>
      </c>
      <c r="C291" s="3">
        <v>39162</v>
      </c>
      <c r="D291" s="2" t="s">
        <v>957</v>
      </c>
      <c r="E291" s="4" t="s">
        <v>620</v>
      </c>
      <c r="F291" s="2" t="s">
        <v>21</v>
      </c>
      <c r="N291" s="4" t="s">
        <v>7</v>
      </c>
      <c r="O291" s="4" t="s">
        <v>9</v>
      </c>
      <c r="P291" s="2" t="s">
        <v>25</v>
      </c>
      <c r="Q291" s="2" t="s">
        <v>7</v>
      </c>
      <c r="R291" s="2" t="s">
        <v>17</v>
      </c>
      <c r="S291" s="2" t="s">
        <v>24</v>
      </c>
      <c r="W291" s="4">
        <v>0</v>
      </c>
      <c r="X291" s="4">
        <v>0</v>
      </c>
      <c r="Y291" s="4">
        <v>0</v>
      </c>
      <c r="Z291" s="4">
        <f t="shared" si="4"/>
        <v>0</v>
      </c>
    </row>
    <row r="292" spans="1:26" ht="14.45" customHeight="1" x14ac:dyDescent="0.25">
      <c r="A292" s="2" t="s">
        <v>959</v>
      </c>
      <c r="B292" s="6" t="s">
        <v>960</v>
      </c>
      <c r="C292" s="3">
        <v>39162</v>
      </c>
      <c r="D292" s="2" t="s">
        <v>961</v>
      </c>
      <c r="E292" s="4" t="s">
        <v>958</v>
      </c>
      <c r="F292" s="2" t="s">
        <v>21</v>
      </c>
      <c r="N292" s="4" t="s">
        <v>7</v>
      </c>
      <c r="O292" s="4" t="s">
        <v>9</v>
      </c>
      <c r="P292" s="2" t="s">
        <v>25</v>
      </c>
      <c r="Q292" s="2" t="s">
        <v>7</v>
      </c>
      <c r="R292" s="2" t="s">
        <v>17</v>
      </c>
      <c r="S292" s="2" t="s">
        <v>24</v>
      </c>
      <c r="W292" s="4">
        <v>0</v>
      </c>
      <c r="X292" s="4">
        <v>0</v>
      </c>
      <c r="Y292" s="4">
        <v>0</v>
      </c>
      <c r="Z292" s="4">
        <f t="shared" si="4"/>
        <v>0</v>
      </c>
    </row>
    <row r="293" spans="1:26" ht="14.45" customHeight="1" x14ac:dyDescent="0.25">
      <c r="A293" s="2" t="s">
        <v>962</v>
      </c>
      <c r="B293" s="6" t="s">
        <v>963</v>
      </c>
      <c r="C293" s="3">
        <v>39162</v>
      </c>
      <c r="D293" s="2" t="s">
        <v>964</v>
      </c>
      <c r="E293" s="4" t="s">
        <v>86</v>
      </c>
      <c r="F293" s="2" t="s">
        <v>21</v>
      </c>
      <c r="N293" s="4" t="s">
        <v>7</v>
      </c>
      <c r="O293" s="4" t="s">
        <v>8</v>
      </c>
      <c r="P293" s="2" t="s">
        <v>25</v>
      </c>
      <c r="Q293" s="2" t="s">
        <v>7</v>
      </c>
      <c r="R293" s="2" t="s">
        <v>17</v>
      </c>
      <c r="S293" s="2" t="s">
        <v>15</v>
      </c>
      <c r="W293" s="4">
        <v>0</v>
      </c>
      <c r="X293" s="4">
        <v>0</v>
      </c>
      <c r="Y293" s="4">
        <v>0</v>
      </c>
      <c r="Z293" s="4">
        <f t="shared" si="4"/>
        <v>0</v>
      </c>
    </row>
    <row r="294" spans="1:26" ht="14.45" customHeight="1" x14ac:dyDescent="0.25">
      <c r="A294" s="2" t="s">
        <v>965</v>
      </c>
      <c r="B294" s="6" t="s">
        <v>966</v>
      </c>
      <c r="C294" s="3">
        <v>39092</v>
      </c>
      <c r="D294" s="2" t="s">
        <v>967</v>
      </c>
      <c r="E294" s="4" t="s">
        <v>160</v>
      </c>
      <c r="F294" s="2" t="s">
        <v>21</v>
      </c>
      <c r="K294" s="2" t="s">
        <v>69</v>
      </c>
      <c r="L294" s="2" t="s">
        <v>72</v>
      </c>
      <c r="M294" s="2" t="s">
        <v>67</v>
      </c>
      <c r="N294" s="4" t="s">
        <v>6</v>
      </c>
      <c r="O294" s="4" t="s">
        <v>5</v>
      </c>
      <c r="P294" s="2" t="s">
        <v>25</v>
      </c>
      <c r="Q294" s="2" t="s">
        <v>40</v>
      </c>
      <c r="R294" s="2" t="s">
        <v>17</v>
      </c>
      <c r="S294" s="2" t="s">
        <v>38</v>
      </c>
      <c r="T294" s="2" t="s">
        <v>18</v>
      </c>
      <c r="W294" s="4">
        <v>0</v>
      </c>
      <c r="X294" s="4">
        <v>0.5</v>
      </c>
      <c r="Y294" s="4">
        <v>1</v>
      </c>
      <c r="Z294" s="4">
        <f t="shared" si="4"/>
        <v>1.5</v>
      </c>
    </row>
    <row r="295" spans="1:26" ht="14.45" customHeight="1" x14ac:dyDescent="0.25">
      <c r="A295" s="2" t="s">
        <v>968</v>
      </c>
      <c r="B295" s="6" t="s">
        <v>969</v>
      </c>
      <c r="C295" s="3">
        <v>39092</v>
      </c>
      <c r="D295" s="2" t="s">
        <v>970</v>
      </c>
      <c r="E295" s="4" t="s">
        <v>160</v>
      </c>
      <c r="F295" s="2" t="s">
        <v>21</v>
      </c>
      <c r="N295" s="4" t="s">
        <v>4</v>
      </c>
      <c r="O295" s="4" t="s">
        <v>6</v>
      </c>
      <c r="P295" s="2" t="s">
        <v>25</v>
      </c>
      <c r="Q295" s="2" t="s">
        <v>40</v>
      </c>
      <c r="R295" s="2" t="s">
        <v>13</v>
      </c>
      <c r="S295" s="2" t="s">
        <v>38</v>
      </c>
      <c r="W295" s="4">
        <v>0</v>
      </c>
      <c r="X295" s="4">
        <v>0</v>
      </c>
      <c r="Y295" s="4">
        <v>0</v>
      </c>
      <c r="Z295" s="4">
        <f t="shared" si="4"/>
        <v>0</v>
      </c>
    </row>
    <row r="296" spans="1:26" ht="14.45" customHeight="1" x14ac:dyDescent="0.25">
      <c r="A296" s="2" t="s">
        <v>1125</v>
      </c>
      <c r="B296" s="6" t="s">
        <v>1126</v>
      </c>
      <c r="C296" s="3">
        <v>39091</v>
      </c>
      <c r="D296" s="2" t="s">
        <v>1127</v>
      </c>
      <c r="E296" s="4" t="s">
        <v>981</v>
      </c>
      <c r="F296" s="2" t="s">
        <v>187</v>
      </c>
      <c r="K296" s="2" t="s">
        <v>68</v>
      </c>
      <c r="L296" s="2" t="s">
        <v>65</v>
      </c>
      <c r="M296" s="2" t="s">
        <v>72</v>
      </c>
      <c r="N296" s="4" t="s">
        <v>9</v>
      </c>
      <c r="O296" s="4" t="s">
        <v>5</v>
      </c>
      <c r="P296" s="2" t="s">
        <v>25</v>
      </c>
      <c r="Q296" s="2" t="s">
        <v>29</v>
      </c>
      <c r="R296" s="2" t="s">
        <v>35</v>
      </c>
      <c r="S296" s="2" t="s">
        <v>38</v>
      </c>
      <c r="T296" s="2" t="s">
        <v>18</v>
      </c>
      <c r="W296" s="4">
        <v>0.5</v>
      </c>
      <c r="X296" s="4">
        <v>0.5</v>
      </c>
      <c r="Y296" s="4">
        <v>0.5</v>
      </c>
      <c r="Z296" s="4">
        <f t="shared" si="4"/>
        <v>1.5</v>
      </c>
    </row>
    <row r="297" spans="1:26" ht="14.45" customHeight="1" x14ac:dyDescent="0.25">
      <c r="A297" s="2" t="s">
        <v>971</v>
      </c>
      <c r="B297" s="6" t="s">
        <v>972</v>
      </c>
      <c r="C297" s="3">
        <v>39091</v>
      </c>
      <c r="D297" s="2" t="s">
        <v>973</v>
      </c>
      <c r="E297" s="4" t="s">
        <v>118</v>
      </c>
      <c r="F297" s="2" t="s">
        <v>21</v>
      </c>
      <c r="K297" s="2" t="s">
        <v>68</v>
      </c>
      <c r="L297" s="2" t="s">
        <v>75</v>
      </c>
      <c r="M297" s="2" t="s">
        <v>72</v>
      </c>
      <c r="N297" s="4" t="s">
        <v>9</v>
      </c>
      <c r="O297" s="4" t="s">
        <v>8</v>
      </c>
      <c r="P297" s="2" t="s">
        <v>25</v>
      </c>
      <c r="Q297" s="2" t="s">
        <v>29</v>
      </c>
      <c r="R297" s="2" t="s">
        <v>33</v>
      </c>
      <c r="S297" s="2" t="s">
        <v>35</v>
      </c>
      <c r="W297" s="4">
        <v>0.5</v>
      </c>
      <c r="X297" s="4">
        <v>0.5</v>
      </c>
      <c r="Y297" s="4">
        <v>0.5</v>
      </c>
      <c r="Z297" s="4">
        <f t="shared" si="4"/>
        <v>1.5</v>
      </c>
    </row>
    <row r="298" spans="1:26" ht="14.45" customHeight="1" x14ac:dyDescent="0.25">
      <c r="A298" s="4" t="s">
        <v>978</v>
      </c>
      <c r="B298" s="19" t="s">
        <v>979</v>
      </c>
      <c r="C298" s="3">
        <v>39091</v>
      </c>
      <c r="D298" s="2" t="s">
        <v>980</v>
      </c>
      <c r="E298" s="4" t="s">
        <v>981</v>
      </c>
      <c r="F298" s="2" t="s">
        <v>21</v>
      </c>
      <c r="K298" s="2" t="s">
        <v>581</v>
      </c>
      <c r="L298" s="2" t="s">
        <v>75</v>
      </c>
      <c r="N298" s="4" t="s">
        <v>7</v>
      </c>
      <c r="O298" s="4" t="s">
        <v>8</v>
      </c>
      <c r="P298" s="2" t="s">
        <v>25</v>
      </c>
      <c r="Q298" s="2" t="s">
        <v>7</v>
      </c>
      <c r="R298" s="2" t="s">
        <v>29</v>
      </c>
      <c r="S298" s="2" t="s">
        <v>33</v>
      </c>
      <c r="T298" s="2" t="s">
        <v>27</v>
      </c>
      <c r="W298" s="4">
        <v>1</v>
      </c>
      <c r="X298" s="4">
        <v>0</v>
      </c>
      <c r="Y298" s="4">
        <v>0</v>
      </c>
      <c r="Z298" s="4">
        <f t="shared" si="4"/>
        <v>1</v>
      </c>
    </row>
    <row r="299" spans="1:26" ht="14.45" customHeight="1" x14ac:dyDescent="0.25">
      <c r="A299" s="18" t="s">
        <v>974</v>
      </c>
      <c r="B299" s="19" t="s">
        <v>975</v>
      </c>
      <c r="C299" s="3">
        <v>39091</v>
      </c>
      <c r="D299" s="2" t="s">
        <v>976</v>
      </c>
      <c r="E299" s="4" t="s">
        <v>977</v>
      </c>
      <c r="F299" s="2" t="s">
        <v>21</v>
      </c>
      <c r="K299" s="2" t="s">
        <v>72</v>
      </c>
      <c r="L299" s="2" t="s">
        <v>68</v>
      </c>
      <c r="N299" s="4" t="s">
        <v>9</v>
      </c>
      <c r="O299" s="4" t="s">
        <v>7</v>
      </c>
      <c r="P299" s="2" t="s">
        <v>25</v>
      </c>
      <c r="Q299" s="2" t="s">
        <v>29</v>
      </c>
      <c r="R299" s="2" t="s">
        <v>31</v>
      </c>
      <c r="S299" s="2" t="s">
        <v>15</v>
      </c>
      <c r="T299" s="2" t="s">
        <v>22</v>
      </c>
      <c r="W299" s="4">
        <v>0</v>
      </c>
      <c r="X299" s="4">
        <v>0.5</v>
      </c>
      <c r="Y299" s="4">
        <v>0.5</v>
      </c>
      <c r="Z299" s="4">
        <f t="shared" si="4"/>
        <v>1</v>
      </c>
    </row>
    <row r="300" spans="1:26" ht="14.45" customHeight="1" x14ac:dyDescent="0.25">
      <c r="A300" s="2" t="s">
        <v>1122</v>
      </c>
      <c r="B300" s="6" t="s">
        <v>1123</v>
      </c>
      <c r="C300" s="3">
        <v>39091</v>
      </c>
      <c r="D300" s="2" t="s">
        <v>1124</v>
      </c>
      <c r="E300" s="4" t="s">
        <v>173</v>
      </c>
      <c r="F300" s="2" t="s">
        <v>187</v>
      </c>
      <c r="K300" s="2" t="s">
        <v>68</v>
      </c>
      <c r="N300" s="4" t="s">
        <v>9</v>
      </c>
      <c r="O300" s="4" t="s">
        <v>8</v>
      </c>
      <c r="P300" s="2" t="s">
        <v>25</v>
      </c>
      <c r="Q300" s="2" t="s">
        <v>29</v>
      </c>
      <c r="R300" s="2" t="s">
        <v>44</v>
      </c>
      <c r="S300" s="2" t="s">
        <v>15</v>
      </c>
      <c r="W300" s="4">
        <v>0</v>
      </c>
      <c r="X300" s="4">
        <v>0</v>
      </c>
      <c r="Y300" s="4">
        <v>0.5</v>
      </c>
      <c r="Z300" s="4">
        <f t="shared" si="4"/>
        <v>0.5</v>
      </c>
    </row>
    <row r="301" spans="1:26" ht="14.45" customHeight="1" x14ac:dyDescent="0.25">
      <c r="A301" s="4" t="s">
        <v>174</v>
      </c>
      <c r="B301" s="5" t="s">
        <v>175</v>
      </c>
      <c r="C301" s="3">
        <v>39091</v>
      </c>
      <c r="D301" s="2" t="s">
        <v>176</v>
      </c>
      <c r="E301" s="4" t="s">
        <v>173</v>
      </c>
      <c r="F301" s="2" t="s">
        <v>55</v>
      </c>
      <c r="N301" s="4" t="s">
        <v>7</v>
      </c>
      <c r="O301" s="4" t="s">
        <v>9</v>
      </c>
      <c r="P301" s="2" t="s">
        <v>25</v>
      </c>
      <c r="Q301" s="2" t="s">
        <v>29</v>
      </c>
      <c r="R301" s="2" t="s">
        <v>33</v>
      </c>
      <c r="S301" s="2" t="s">
        <v>15</v>
      </c>
      <c r="W301" s="4">
        <v>0</v>
      </c>
      <c r="X301" s="4">
        <v>0</v>
      </c>
      <c r="Y301" s="4">
        <v>0</v>
      </c>
      <c r="Z301" s="4">
        <f t="shared" si="4"/>
        <v>0</v>
      </c>
    </row>
    <row r="302" spans="1:26" ht="14.45" customHeight="1" x14ac:dyDescent="0.25">
      <c r="A302" s="4" t="s">
        <v>985</v>
      </c>
      <c r="B302" s="15" t="s">
        <v>986</v>
      </c>
      <c r="C302" s="3">
        <v>39080</v>
      </c>
      <c r="D302" s="2" t="s">
        <v>987</v>
      </c>
      <c r="E302" s="4" t="s">
        <v>687</v>
      </c>
      <c r="F302" s="2" t="s">
        <v>21</v>
      </c>
      <c r="K302" s="2" t="s">
        <v>69</v>
      </c>
      <c r="L302" s="2" t="s">
        <v>75</v>
      </c>
      <c r="M302" s="2" t="s">
        <v>61</v>
      </c>
      <c r="N302" s="4" t="s">
        <v>5</v>
      </c>
      <c r="O302" s="4" t="s">
        <v>6</v>
      </c>
      <c r="P302" s="2" t="s">
        <v>25</v>
      </c>
      <c r="Q302" s="2" t="s">
        <v>40</v>
      </c>
      <c r="R302" s="2" t="s">
        <v>13</v>
      </c>
      <c r="S302" s="2" t="s">
        <v>17</v>
      </c>
      <c r="W302" s="4">
        <v>0.5</v>
      </c>
      <c r="X302" s="4">
        <v>0.5</v>
      </c>
      <c r="Y302" s="4">
        <v>1</v>
      </c>
      <c r="Z302" s="4">
        <f t="shared" si="4"/>
        <v>2</v>
      </c>
    </row>
    <row r="303" spans="1:26" ht="14.45" customHeight="1" x14ac:dyDescent="0.25">
      <c r="A303" s="4" t="s">
        <v>988</v>
      </c>
      <c r="B303" s="19" t="s">
        <v>989</v>
      </c>
      <c r="C303" s="3">
        <v>39080</v>
      </c>
      <c r="D303" s="2" t="s">
        <v>990</v>
      </c>
      <c r="E303" s="4" t="s">
        <v>687</v>
      </c>
      <c r="F303" s="2" t="s">
        <v>21</v>
      </c>
      <c r="K303" s="2" t="s">
        <v>62</v>
      </c>
      <c r="L303" s="2" t="s">
        <v>72</v>
      </c>
      <c r="N303" s="4" t="s">
        <v>7</v>
      </c>
      <c r="O303" s="4" t="s">
        <v>8</v>
      </c>
      <c r="P303" s="2" t="s">
        <v>25</v>
      </c>
      <c r="Q303" s="2" t="s">
        <v>7</v>
      </c>
      <c r="R303" s="2" t="s">
        <v>17</v>
      </c>
      <c r="S303" s="2" t="s">
        <v>27</v>
      </c>
      <c r="W303" s="4">
        <v>0.5</v>
      </c>
      <c r="X303" s="4">
        <v>0.5</v>
      </c>
      <c r="Y303" s="4">
        <v>0</v>
      </c>
      <c r="Z303" s="4">
        <f t="shared" si="4"/>
        <v>1</v>
      </c>
    </row>
    <row r="304" spans="1:26" ht="14.45" customHeight="1" x14ac:dyDescent="0.25">
      <c r="A304" s="4" t="s">
        <v>982</v>
      </c>
      <c r="B304" s="19" t="s">
        <v>983</v>
      </c>
      <c r="C304" s="3">
        <v>39080</v>
      </c>
      <c r="D304" s="2" t="s">
        <v>984</v>
      </c>
      <c r="E304" s="4" t="s">
        <v>687</v>
      </c>
      <c r="F304" s="2" t="s">
        <v>21</v>
      </c>
      <c r="K304" s="2" t="s">
        <v>75</v>
      </c>
      <c r="N304" s="4" t="s">
        <v>9</v>
      </c>
      <c r="O304" s="4" t="s">
        <v>5</v>
      </c>
      <c r="P304" s="2" t="s">
        <v>25</v>
      </c>
      <c r="Q304" s="2" t="s">
        <v>7</v>
      </c>
      <c r="R304" s="2" t="s">
        <v>17</v>
      </c>
      <c r="S304" s="2" t="s">
        <v>21</v>
      </c>
      <c r="W304" s="4">
        <v>0.5</v>
      </c>
      <c r="X304" s="4">
        <v>0</v>
      </c>
      <c r="Y304" s="4">
        <v>0</v>
      </c>
      <c r="Z304" s="4">
        <f t="shared" si="4"/>
        <v>0.5</v>
      </c>
    </row>
    <row r="305" spans="1:26" ht="14.45" customHeight="1" x14ac:dyDescent="0.25">
      <c r="A305" s="4" t="s">
        <v>991</v>
      </c>
      <c r="B305" s="19" t="s">
        <v>992</v>
      </c>
      <c r="C305" s="3">
        <v>39080</v>
      </c>
      <c r="D305" s="2" t="s">
        <v>993</v>
      </c>
      <c r="E305" s="4" t="s">
        <v>687</v>
      </c>
      <c r="F305" s="2" t="s">
        <v>21</v>
      </c>
      <c r="K305" s="2" t="s">
        <v>69</v>
      </c>
      <c r="N305" s="4" t="s">
        <v>6</v>
      </c>
      <c r="O305" s="4" t="s">
        <v>5</v>
      </c>
      <c r="P305" s="2" t="s">
        <v>25</v>
      </c>
      <c r="Q305" s="2" t="s">
        <v>40</v>
      </c>
      <c r="R305" s="2" t="s">
        <v>17</v>
      </c>
      <c r="W305" s="4">
        <v>0</v>
      </c>
      <c r="X305" s="4">
        <v>0</v>
      </c>
      <c r="Y305" s="4">
        <v>0.5</v>
      </c>
      <c r="Z305" s="4">
        <f t="shared" si="4"/>
        <v>0.5</v>
      </c>
    </row>
    <row r="306" spans="1:26" ht="14.45" customHeight="1" x14ac:dyDescent="0.25">
      <c r="A306" s="4" t="s">
        <v>968</v>
      </c>
      <c r="B306" s="19" t="s">
        <v>994</v>
      </c>
      <c r="C306" s="3">
        <v>39080</v>
      </c>
      <c r="D306" s="2" t="s">
        <v>995</v>
      </c>
      <c r="E306" s="4" t="s">
        <v>687</v>
      </c>
      <c r="F306" s="2" t="s">
        <v>21</v>
      </c>
      <c r="K306" s="2" t="s">
        <v>69</v>
      </c>
      <c r="N306" s="4" t="s">
        <v>6</v>
      </c>
      <c r="O306" s="4" t="s">
        <v>5</v>
      </c>
      <c r="P306" s="2" t="s">
        <v>25</v>
      </c>
      <c r="Q306" s="2" t="s">
        <v>40</v>
      </c>
      <c r="R306" s="2" t="s">
        <v>17</v>
      </c>
      <c r="W306" s="4">
        <v>0</v>
      </c>
      <c r="X306" s="4">
        <v>0</v>
      </c>
      <c r="Y306" s="4">
        <v>0.5</v>
      </c>
      <c r="Z306" s="4">
        <f t="shared" si="4"/>
        <v>0.5</v>
      </c>
    </row>
    <row r="307" spans="1:26" ht="14.45" customHeight="1" x14ac:dyDescent="0.25">
      <c r="A307" s="4" t="s">
        <v>309</v>
      </c>
      <c r="B307" s="6" t="s">
        <v>439</v>
      </c>
      <c r="C307" s="3">
        <v>39079</v>
      </c>
      <c r="D307" s="2" t="s">
        <v>310</v>
      </c>
      <c r="E307" s="4" t="s">
        <v>311</v>
      </c>
      <c r="F307" s="2" t="s">
        <v>54</v>
      </c>
      <c r="K307" s="2" t="s">
        <v>72</v>
      </c>
      <c r="L307" s="2" t="s">
        <v>66</v>
      </c>
      <c r="M307" s="2" t="s">
        <v>68</v>
      </c>
      <c r="N307" s="4" t="s">
        <v>7</v>
      </c>
      <c r="O307" s="4" t="s">
        <v>9</v>
      </c>
      <c r="P307" s="2" t="s">
        <v>25</v>
      </c>
      <c r="Q307" s="2" t="s">
        <v>7</v>
      </c>
      <c r="R307" s="2" t="s">
        <v>17</v>
      </c>
      <c r="S307" s="2" t="s">
        <v>24</v>
      </c>
      <c r="T307" s="2" t="s">
        <v>18</v>
      </c>
      <c r="W307" s="4">
        <v>0.5</v>
      </c>
      <c r="X307" s="4">
        <v>0.5</v>
      </c>
      <c r="Y307" s="4">
        <v>0</v>
      </c>
      <c r="Z307" s="4">
        <f t="shared" si="4"/>
        <v>1</v>
      </c>
    </row>
    <row r="308" spans="1:26" ht="14.45" customHeight="1" x14ac:dyDescent="0.25">
      <c r="A308" s="2" t="s">
        <v>179</v>
      </c>
      <c r="B308" s="5" t="s">
        <v>180</v>
      </c>
      <c r="C308" s="3">
        <v>39079</v>
      </c>
      <c r="D308" s="2" t="s">
        <v>178</v>
      </c>
      <c r="E308" s="4" t="s">
        <v>177</v>
      </c>
      <c r="F308" s="2" t="s">
        <v>55</v>
      </c>
      <c r="G308" s="2" t="s">
        <v>54</v>
      </c>
      <c r="H308" s="2" t="s">
        <v>187</v>
      </c>
      <c r="K308" s="2" t="s">
        <v>62</v>
      </c>
      <c r="L308" s="2" t="s">
        <v>72</v>
      </c>
      <c r="N308" s="4" t="s">
        <v>7</v>
      </c>
      <c r="O308" s="4" t="s">
        <v>9</v>
      </c>
      <c r="P308" s="2" t="s">
        <v>25</v>
      </c>
      <c r="Q308" s="2" t="s">
        <v>17</v>
      </c>
      <c r="R308" s="2" t="s">
        <v>31</v>
      </c>
      <c r="S308" s="2" t="s">
        <v>24</v>
      </c>
      <c r="W308" s="4">
        <v>0.5</v>
      </c>
      <c r="X308" s="4">
        <v>0.5</v>
      </c>
      <c r="Y308" s="4">
        <v>0</v>
      </c>
      <c r="Z308" s="4">
        <f t="shared" si="4"/>
        <v>1</v>
      </c>
    </row>
    <row r="309" spans="1:26" ht="14.45" customHeight="1" x14ac:dyDescent="0.25">
      <c r="A309" s="4" t="s">
        <v>1026</v>
      </c>
      <c r="B309" s="6" t="s">
        <v>1027</v>
      </c>
      <c r="C309" s="3">
        <v>39079</v>
      </c>
      <c r="D309" s="2" t="s">
        <v>1028</v>
      </c>
      <c r="E309" s="4" t="s">
        <v>1025</v>
      </c>
      <c r="F309" s="2" t="s">
        <v>21</v>
      </c>
      <c r="K309" s="2" t="s">
        <v>68</v>
      </c>
      <c r="L309" s="2" t="s">
        <v>72</v>
      </c>
      <c r="N309" s="4" t="s">
        <v>7</v>
      </c>
      <c r="O309" s="4" t="s">
        <v>9</v>
      </c>
      <c r="P309" s="2" t="s">
        <v>25</v>
      </c>
      <c r="Q309" s="2" t="s">
        <v>17</v>
      </c>
      <c r="R309" s="2" t="s">
        <v>31</v>
      </c>
      <c r="S309" s="2" t="s">
        <v>24</v>
      </c>
      <c r="W309" s="4">
        <v>0</v>
      </c>
      <c r="X309" s="4">
        <v>0.5</v>
      </c>
      <c r="Y309" s="4">
        <v>0.5</v>
      </c>
      <c r="Z309" s="4">
        <f t="shared" si="4"/>
        <v>1</v>
      </c>
    </row>
    <row r="310" spans="1:26" ht="14.45" customHeight="1" x14ac:dyDescent="0.25">
      <c r="A310" s="4" t="s">
        <v>1019</v>
      </c>
      <c r="B310" s="6" t="s">
        <v>1020</v>
      </c>
      <c r="C310" s="3">
        <v>39079</v>
      </c>
      <c r="D310" s="2" t="s">
        <v>1021</v>
      </c>
      <c r="E310" s="4" t="s">
        <v>1001</v>
      </c>
      <c r="F310" s="2" t="s">
        <v>21</v>
      </c>
      <c r="K310" s="2" t="s">
        <v>67</v>
      </c>
      <c r="L310" s="2" t="s">
        <v>68</v>
      </c>
      <c r="N310" s="4" t="s">
        <v>4</v>
      </c>
      <c r="O310" s="4" t="s">
        <v>5</v>
      </c>
      <c r="P310" s="2" t="s">
        <v>25</v>
      </c>
      <c r="Q310" s="2" t="s">
        <v>7</v>
      </c>
      <c r="R310" s="2" t="s">
        <v>17</v>
      </c>
      <c r="S310" s="2" t="s">
        <v>43</v>
      </c>
      <c r="W310" s="4">
        <v>0</v>
      </c>
      <c r="X310" s="4">
        <v>0</v>
      </c>
      <c r="Y310" s="4">
        <v>1</v>
      </c>
      <c r="Z310" s="4">
        <f t="shared" si="4"/>
        <v>1</v>
      </c>
    </row>
    <row r="311" spans="1:26" ht="14.45" customHeight="1" x14ac:dyDescent="0.25">
      <c r="A311" s="4" t="s">
        <v>1002</v>
      </c>
      <c r="B311" s="19" t="s">
        <v>1003</v>
      </c>
      <c r="C311" s="3">
        <v>39079</v>
      </c>
      <c r="D311" s="2" t="s">
        <v>1004</v>
      </c>
      <c r="E311" s="4" t="s">
        <v>1001</v>
      </c>
      <c r="F311" s="2" t="s">
        <v>21</v>
      </c>
      <c r="K311" s="2" t="s">
        <v>68</v>
      </c>
      <c r="L311" s="2" t="s">
        <v>67</v>
      </c>
      <c r="N311" s="4" t="s">
        <v>5</v>
      </c>
      <c r="O311" s="4" t="s">
        <v>8</v>
      </c>
      <c r="P311" s="2" t="s">
        <v>25</v>
      </c>
      <c r="Q311" s="2" t="s">
        <v>36</v>
      </c>
      <c r="R311" s="2" t="s">
        <v>17</v>
      </c>
      <c r="S311" s="2" t="s">
        <v>33</v>
      </c>
      <c r="W311" s="4">
        <v>0</v>
      </c>
      <c r="X311" s="4">
        <v>0</v>
      </c>
      <c r="Y311" s="4">
        <v>0.5</v>
      </c>
      <c r="Z311" s="4">
        <f t="shared" si="4"/>
        <v>0.5</v>
      </c>
    </row>
    <row r="312" spans="1:26" ht="14.45" customHeight="1" x14ac:dyDescent="0.25">
      <c r="A312" s="2" t="s">
        <v>574</v>
      </c>
      <c r="B312" s="6" t="s">
        <v>575</v>
      </c>
      <c r="C312" s="3">
        <v>39079</v>
      </c>
      <c r="D312" s="2" t="s">
        <v>576</v>
      </c>
      <c r="E312" s="2" t="s">
        <v>220</v>
      </c>
      <c r="F312" s="2" t="s">
        <v>45</v>
      </c>
      <c r="K312" s="2" t="s">
        <v>72</v>
      </c>
      <c r="L312" s="2" t="s">
        <v>71</v>
      </c>
      <c r="N312" s="4" t="s">
        <v>7</v>
      </c>
      <c r="O312" s="4" t="s">
        <v>9</v>
      </c>
      <c r="P312" s="2" t="s">
        <v>25</v>
      </c>
      <c r="Q312" s="2" t="s">
        <v>7</v>
      </c>
      <c r="R312" s="2" t="s">
        <v>17</v>
      </c>
      <c r="S312" s="2" t="s">
        <v>15</v>
      </c>
      <c r="T312" s="2" t="s">
        <v>18</v>
      </c>
      <c r="W312" s="4">
        <v>0</v>
      </c>
      <c r="X312" s="4">
        <v>0.5</v>
      </c>
      <c r="Y312" s="4">
        <v>0</v>
      </c>
      <c r="Z312" s="4">
        <f t="shared" si="4"/>
        <v>0.5</v>
      </c>
    </row>
    <row r="313" spans="1:26" ht="14.45" customHeight="1" x14ac:dyDescent="0.25">
      <c r="A313" s="4" t="s">
        <v>1022</v>
      </c>
      <c r="B313" s="6" t="s">
        <v>1023</v>
      </c>
      <c r="C313" s="3">
        <v>39079</v>
      </c>
      <c r="D313" s="2" t="s">
        <v>1024</v>
      </c>
      <c r="E313" s="4" t="s">
        <v>122</v>
      </c>
      <c r="F313" s="2" t="s">
        <v>21</v>
      </c>
      <c r="K313" s="2" t="s">
        <v>75</v>
      </c>
      <c r="L313" s="2" t="s">
        <v>62</v>
      </c>
      <c r="N313" s="4" t="s">
        <v>7</v>
      </c>
      <c r="O313" s="4" t="s">
        <v>8</v>
      </c>
      <c r="P313" s="2" t="s">
        <v>25</v>
      </c>
      <c r="Q313" s="2" t="s">
        <v>7</v>
      </c>
      <c r="R313" s="2" t="s">
        <v>17</v>
      </c>
      <c r="S313" s="2" t="s">
        <v>24</v>
      </c>
      <c r="W313" s="4">
        <v>0.5</v>
      </c>
      <c r="X313" s="4">
        <v>0</v>
      </c>
      <c r="Y313" s="4">
        <v>0</v>
      </c>
      <c r="Z313" s="4">
        <f t="shared" si="4"/>
        <v>0.5</v>
      </c>
    </row>
    <row r="314" spans="1:26" ht="14.45" customHeight="1" x14ac:dyDescent="0.25">
      <c r="A314" s="4" t="s">
        <v>916</v>
      </c>
      <c r="B314" s="19" t="s">
        <v>999</v>
      </c>
      <c r="C314" s="3">
        <v>39079</v>
      </c>
      <c r="D314" s="2" t="s">
        <v>1000</v>
      </c>
      <c r="E314" s="4" t="s">
        <v>1001</v>
      </c>
      <c r="F314" s="2" t="s">
        <v>21</v>
      </c>
      <c r="K314" s="2" t="s">
        <v>72</v>
      </c>
      <c r="N314" s="4" t="s">
        <v>7</v>
      </c>
      <c r="O314" s="4" t="s">
        <v>5</v>
      </c>
      <c r="P314" s="2" t="s">
        <v>25</v>
      </c>
      <c r="Q314" s="2" t="s">
        <v>7</v>
      </c>
      <c r="R314" s="2" t="s">
        <v>17</v>
      </c>
      <c r="S314" s="2" t="s">
        <v>46</v>
      </c>
      <c r="W314" s="4">
        <v>0</v>
      </c>
      <c r="X314" s="4">
        <v>0.5</v>
      </c>
      <c r="Y314" s="4">
        <v>0</v>
      </c>
      <c r="Z314" s="4">
        <f t="shared" si="4"/>
        <v>0.5</v>
      </c>
    </row>
    <row r="315" spans="1:26" ht="14.45" customHeight="1" x14ac:dyDescent="0.25">
      <c r="A315" s="4" t="s">
        <v>1131</v>
      </c>
      <c r="B315" s="6" t="s">
        <v>1132</v>
      </c>
      <c r="C315" s="3">
        <v>39079</v>
      </c>
      <c r="D315" s="2" t="s">
        <v>1133</v>
      </c>
      <c r="E315" s="4" t="s">
        <v>803</v>
      </c>
      <c r="F315" s="2" t="s">
        <v>187</v>
      </c>
      <c r="K315" s="2" t="s">
        <v>72</v>
      </c>
      <c r="N315" s="4" t="s">
        <v>7</v>
      </c>
      <c r="P315" s="2" t="s">
        <v>25</v>
      </c>
      <c r="Q315" s="2" t="s">
        <v>17</v>
      </c>
      <c r="R315" s="2" t="s">
        <v>38</v>
      </c>
      <c r="S315" s="2" t="s">
        <v>15</v>
      </c>
      <c r="W315" s="4">
        <v>0</v>
      </c>
      <c r="X315" s="4">
        <v>0.5</v>
      </c>
      <c r="Y315" s="4">
        <v>0</v>
      </c>
      <c r="Z315" s="4">
        <f t="shared" si="4"/>
        <v>0.5</v>
      </c>
    </row>
    <row r="316" spans="1:26" ht="14.45" customHeight="1" x14ac:dyDescent="0.25">
      <c r="A316" s="4" t="s">
        <v>305</v>
      </c>
      <c r="B316" s="6" t="s">
        <v>441</v>
      </c>
      <c r="C316" s="3">
        <v>39079</v>
      </c>
      <c r="D316" s="2" t="s">
        <v>306</v>
      </c>
      <c r="E316" s="4" t="s">
        <v>220</v>
      </c>
      <c r="F316" s="2" t="s">
        <v>54</v>
      </c>
      <c r="K316" s="2" t="s">
        <v>72</v>
      </c>
      <c r="N316" s="4" t="s">
        <v>9</v>
      </c>
      <c r="P316" s="2" t="s">
        <v>25</v>
      </c>
      <c r="Q316" s="2" t="s">
        <v>7</v>
      </c>
      <c r="R316" s="2" t="s">
        <v>17</v>
      </c>
      <c r="S316" s="2" t="s">
        <v>15</v>
      </c>
      <c r="T316" s="2" t="s">
        <v>22</v>
      </c>
      <c r="W316" s="4">
        <v>0</v>
      </c>
      <c r="X316" s="4">
        <v>0.5</v>
      </c>
      <c r="Y316" s="4">
        <v>0</v>
      </c>
      <c r="Z316" s="4">
        <f t="shared" si="4"/>
        <v>0.5</v>
      </c>
    </row>
    <row r="317" spans="1:26" ht="14.45" customHeight="1" x14ac:dyDescent="0.25">
      <c r="A317" s="4" t="s">
        <v>307</v>
      </c>
      <c r="B317" s="6" t="s">
        <v>440</v>
      </c>
      <c r="C317" s="3">
        <v>39079</v>
      </c>
      <c r="D317" s="2" t="s">
        <v>308</v>
      </c>
      <c r="E317" s="4" t="s">
        <v>220</v>
      </c>
      <c r="F317" s="2" t="s">
        <v>54</v>
      </c>
      <c r="G317" s="2" t="s">
        <v>187</v>
      </c>
      <c r="K317" s="2" t="s">
        <v>72</v>
      </c>
      <c r="N317" s="4" t="s">
        <v>9</v>
      </c>
      <c r="P317" s="2" t="s">
        <v>25</v>
      </c>
      <c r="Q317" s="2" t="s">
        <v>7</v>
      </c>
      <c r="R317" s="2" t="s">
        <v>17</v>
      </c>
      <c r="S317" s="2" t="s">
        <v>31</v>
      </c>
      <c r="T317" s="2" t="s">
        <v>15</v>
      </c>
      <c r="W317" s="4">
        <v>0</v>
      </c>
      <c r="X317" s="4">
        <v>0.5</v>
      </c>
      <c r="Y317" s="4">
        <v>0</v>
      </c>
      <c r="Z317" s="4">
        <f t="shared" si="4"/>
        <v>0.5</v>
      </c>
    </row>
    <row r="318" spans="1:26" ht="14.45" customHeight="1" x14ac:dyDescent="0.25">
      <c r="A318" s="4" t="s">
        <v>996</v>
      </c>
      <c r="B318" s="19" t="s">
        <v>997</v>
      </c>
      <c r="C318" s="3">
        <v>39079</v>
      </c>
      <c r="D318" s="2" t="s">
        <v>998</v>
      </c>
      <c r="E318" s="4" t="s">
        <v>79</v>
      </c>
      <c r="F318" s="2" t="s">
        <v>21</v>
      </c>
      <c r="K318" s="2" t="s">
        <v>68</v>
      </c>
      <c r="N318" s="4" t="s">
        <v>7</v>
      </c>
      <c r="O318" s="4" t="s">
        <v>9</v>
      </c>
      <c r="P318" s="2" t="s">
        <v>25</v>
      </c>
      <c r="Q318" s="2" t="s">
        <v>7</v>
      </c>
      <c r="R318" s="2" t="s">
        <v>17</v>
      </c>
      <c r="S318" s="2" t="s">
        <v>35</v>
      </c>
      <c r="W318" s="4">
        <v>0</v>
      </c>
      <c r="X318" s="4">
        <v>0</v>
      </c>
      <c r="Y318" s="4">
        <v>0.5</v>
      </c>
      <c r="Z318" s="4">
        <f t="shared" si="4"/>
        <v>0.5</v>
      </c>
    </row>
    <row r="319" spans="1:26" ht="14.45" customHeight="1" x14ac:dyDescent="0.25">
      <c r="A319" s="4" t="s">
        <v>919</v>
      </c>
      <c r="B319" s="19" t="s">
        <v>1005</v>
      </c>
      <c r="C319" s="3">
        <v>39079</v>
      </c>
      <c r="D319" s="2" t="s">
        <v>1006</v>
      </c>
      <c r="E319" s="4" t="s">
        <v>1001</v>
      </c>
      <c r="F319" s="2" t="s">
        <v>21</v>
      </c>
      <c r="K319" s="2" t="s">
        <v>68</v>
      </c>
      <c r="N319" s="4" t="s">
        <v>5</v>
      </c>
      <c r="O319" s="4" t="s">
        <v>8</v>
      </c>
      <c r="P319" s="2" t="s">
        <v>25</v>
      </c>
      <c r="Q319" s="2" t="s">
        <v>17</v>
      </c>
      <c r="R319" s="2" t="s">
        <v>33</v>
      </c>
      <c r="S319" s="2" t="s">
        <v>43</v>
      </c>
      <c r="W319" s="4">
        <v>0</v>
      </c>
      <c r="X319" s="4">
        <v>0</v>
      </c>
      <c r="Y319" s="4">
        <v>0.5</v>
      </c>
      <c r="Z319" s="4">
        <f t="shared" si="4"/>
        <v>0.5</v>
      </c>
    </row>
    <row r="320" spans="1:26" ht="14.45" customHeight="1" x14ac:dyDescent="0.25">
      <c r="A320" s="4" t="s">
        <v>1007</v>
      </c>
      <c r="B320" s="6" t="s">
        <v>1008</v>
      </c>
      <c r="C320" s="3">
        <v>39079</v>
      </c>
      <c r="D320" s="2" t="s">
        <v>1009</v>
      </c>
      <c r="E320" s="4" t="s">
        <v>1001</v>
      </c>
      <c r="F320" s="2" t="s">
        <v>21</v>
      </c>
      <c r="K320" s="2" t="s">
        <v>68</v>
      </c>
      <c r="N320" s="4" t="s">
        <v>7</v>
      </c>
      <c r="O320" s="4" t="s">
        <v>8</v>
      </c>
      <c r="P320" s="2" t="s">
        <v>25</v>
      </c>
      <c r="Q320" s="2" t="s">
        <v>7</v>
      </c>
      <c r="R320" s="2" t="s">
        <v>17</v>
      </c>
      <c r="S320" s="2" t="s">
        <v>43</v>
      </c>
      <c r="W320" s="4">
        <v>0</v>
      </c>
      <c r="X320" s="4">
        <v>0</v>
      </c>
      <c r="Y320" s="4">
        <v>0.5</v>
      </c>
      <c r="Z320" s="4">
        <f t="shared" si="4"/>
        <v>0.5</v>
      </c>
    </row>
    <row r="321" spans="1:26" ht="14.45" customHeight="1" x14ac:dyDescent="0.25">
      <c r="A321" s="4" t="s">
        <v>1010</v>
      </c>
      <c r="B321" s="6" t="s">
        <v>1011</v>
      </c>
      <c r="C321" s="3">
        <v>39079</v>
      </c>
      <c r="D321" s="2" t="s">
        <v>1012</v>
      </c>
      <c r="E321" s="4" t="s">
        <v>1001</v>
      </c>
      <c r="F321" s="2" t="s">
        <v>21</v>
      </c>
      <c r="K321" s="2" t="s">
        <v>68</v>
      </c>
      <c r="N321" s="4" t="s">
        <v>7</v>
      </c>
      <c r="O321" s="4" t="s">
        <v>8</v>
      </c>
      <c r="P321" s="2" t="s">
        <v>25</v>
      </c>
      <c r="Q321" s="2" t="s">
        <v>7</v>
      </c>
      <c r="R321" s="2" t="s">
        <v>17</v>
      </c>
      <c r="S321" s="2" t="s">
        <v>33</v>
      </c>
      <c r="W321" s="4">
        <v>0</v>
      </c>
      <c r="X321" s="4">
        <v>0</v>
      </c>
      <c r="Y321" s="4">
        <v>0.5</v>
      </c>
      <c r="Z321" s="4">
        <f t="shared" si="4"/>
        <v>0.5</v>
      </c>
    </row>
    <row r="322" spans="1:26" ht="14.45" customHeight="1" x14ac:dyDescent="0.25">
      <c r="A322" s="4" t="s">
        <v>1013</v>
      </c>
      <c r="B322" s="6" t="s">
        <v>1014</v>
      </c>
      <c r="C322" s="3">
        <v>39079</v>
      </c>
      <c r="D322" s="2" t="s">
        <v>1015</v>
      </c>
      <c r="E322" s="4" t="s">
        <v>1001</v>
      </c>
      <c r="F322" s="2" t="s">
        <v>21</v>
      </c>
      <c r="K322" s="2" t="s">
        <v>68</v>
      </c>
      <c r="N322" s="4" t="s">
        <v>7</v>
      </c>
      <c r="O322" s="4" t="s">
        <v>8</v>
      </c>
      <c r="P322" s="2" t="s">
        <v>25</v>
      </c>
      <c r="Q322" s="2" t="s">
        <v>7</v>
      </c>
      <c r="R322" s="2" t="s">
        <v>17</v>
      </c>
      <c r="S322" s="2" t="s">
        <v>33</v>
      </c>
      <c r="W322" s="4">
        <v>0</v>
      </c>
      <c r="X322" s="4">
        <v>0</v>
      </c>
      <c r="Y322" s="4">
        <v>0.5</v>
      </c>
      <c r="Z322" s="4">
        <f t="shared" si="4"/>
        <v>0.5</v>
      </c>
    </row>
    <row r="323" spans="1:26" ht="14.45" customHeight="1" x14ac:dyDescent="0.25">
      <c r="A323" s="4" t="s">
        <v>1016</v>
      </c>
      <c r="B323" s="6" t="s">
        <v>1017</v>
      </c>
      <c r="C323" s="3">
        <v>39079</v>
      </c>
      <c r="D323" s="2" t="s">
        <v>1018</v>
      </c>
      <c r="E323" s="4" t="s">
        <v>1001</v>
      </c>
      <c r="F323" s="2" t="s">
        <v>21</v>
      </c>
      <c r="K323" s="2" t="s">
        <v>68</v>
      </c>
      <c r="N323" s="4" t="s">
        <v>7</v>
      </c>
      <c r="O323" s="4" t="s">
        <v>9</v>
      </c>
      <c r="P323" s="2" t="s">
        <v>25</v>
      </c>
      <c r="Q323" s="2" t="s">
        <v>17</v>
      </c>
      <c r="R323" s="2" t="s">
        <v>29</v>
      </c>
      <c r="S323" s="2" t="s">
        <v>38</v>
      </c>
      <c r="W323" s="4">
        <v>0</v>
      </c>
      <c r="X323" s="4">
        <v>0</v>
      </c>
      <c r="Y323" s="4">
        <v>0.5</v>
      </c>
      <c r="Z323" s="4">
        <f t="shared" si="4"/>
        <v>0.5</v>
      </c>
    </row>
    <row r="324" spans="1:26" ht="14.45" customHeight="1" x14ac:dyDescent="0.25">
      <c r="A324" s="4" t="s">
        <v>1128</v>
      </c>
      <c r="B324" s="6" t="s">
        <v>1129</v>
      </c>
      <c r="C324" s="3">
        <v>39079</v>
      </c>
      <c r="D324" s="2" t="s">
        <v>1130</v>
      </c>
      <c r="E324" s="4" t="s">
        <v>728</v>
      </c>
      <c r="F324" s="2" t="s">
        <v>187</v>
      </c>
      <c r="N324" s="4" t="s">
        <v>7</v>
      </c>
      <c r="P324" s="2" t="s">
        <v>25</v>
      </c>
      <c r="Q324" s="2" t="s">
        <v>7</v>
      </c>
      <c r="R324" s="2" t="s">
        <v>17</v>
      </c>
      <c r="S324" s="2" t="s">
        <v>15</v>
      </c>
      <c r="W324" s="4">
        <v>0</v>
      </c>
      <c r="X324" s="4">
        <v>0</v>
      </c>
      <c r="Y324" s="4">
        <v>0</v>
      </c>
      <c r="Z324" s="4">
        <f t="shared" si="4"/>
        <v>0</v>
      </c>
    </row>
    <row r="325" spans="1:26" ht="14.45" customHeight="1" x14ac:dyDescent="0.25">
      <c r="A325" s="4" t="s">
        <v>1135</v>
      </c>
      <c r="B325" s="6" t="s">
        <v>1136</v>
      </c>
      <c r="C325" s="3">
        <v>39079</v>
      </c>
      <c r="D325" s="2" t="s">
        <v>1137</v>
      </c>
      <c r="E325" s="4" t="s">
        <v>1134</v>
      </c>
      <c r="F325" s="2" t="s">
        <v>187</v>
      </c>
      <c r="N325" s="4" t="s">
        <v>7</v>
      </c>
      <c r="P325" s="2" t="s">
        <v>25</v>
      </c>
      <c r="Q325" s="2" t="s">
        <v>7</v>
      </c>
      <c r="R325" s="2" t="s">
        <v>24</v>
      </c>
      <c r="S325" s="2" t="s">
        <v>15</v>
      </c>
      <c r="W325" s="4">
        <v>0</v>
      </c>
      <c r="X325" s="4">
        <v>0</v>
      </c>
      <c r="Y325" s="4">
        <v>0</v>
      </c>
      <c r="Z325" s="4">
        <f t="shared" ref="Z325:Z327" si="5">SUM(W325:Y325)</f>
        <v>0</v>
      </c>
    </row>
    <row r="326" spans="1:26" ht="14.45" customHeight="1" x14ac:dyDescent="0.25">
      <c r="A326" s="4" t="s">
        <v>1029</v>
      </c>
      <c r="B326" s="6" t="s">
        <v>1030</v>
      </c>
      <c r="C326" s="3">
        <v>39066</v>
      </c>
      <c r="D326" s="2" t="s">
        <v>1031</v>
      </c>
      <c r="E326" s="4" t="s">
        <v>762</v>
      </c>
      <c r="F326" s="2" t="s">
        <v>21</v>
      </c>
      <c r="K326" s="2" t="s">
        <v>68</v>
      </c>
      <c r="L326" s="2" t="s">
        <v>72</v>
      </c>
      <c r="N326" s="4" t="s">
        <v>7</v>
      </c>
      <c r="O326" s="4" t="s">
        <v>9</v>
      </c>
      <c r="P326" s="2" t="s">
        <v>14</v>
      </c>
      <c r="Q326" s="2" t="s">
        <v>7</v>
      </c>
      <c r="R326" s="2" t="s">
        <v>17</v>
      </c>
      <c r="S326" s="2" t="s">
        <v>35</v>
      </c>
      <c r="T326" s="2" t="s">
        <v>46</v>
      </c>
      <c r="W326" s="4">
        <v>0</v>
      </c>
      <c r="X326" s="4">
        <v>0.5</v>
      </c>
      <c r="Y326" s="4">
        <v>0.5</v>
      </c>
      <c r="Z326" s="4">
        <f t="shared" si="5"/>
        <v>1</v>
      </c>
    </row>
    <row r="327" spans="1:26" ht="14.45" customHeight="1" x14ac:dyDescent="0.25">
      <c r="A327" s="2" t="s">
        <v>577</v>
      </c>
      <c r="B327" s="6" t="s">
        <v>578</v>
      </c>
      <c r="C327" s="3">
        <v>39066</v>
      </c>
      <c r="D327" s="2" t="s">
        <v>580</v>
      </c>
      <c r="E327" s="2" t="s">
        <v>579</v>
      </c>
      <c r="F327" s="2" t="s">
        <v>45</v>
      </c>
      <c r="G327" s="2" t="s">
        <v>21</v>
      </c>
      <c r="K327" s="2" t="s">
        <v>75</v>
      </c>
      <c r="L327" s="2" t="s">
        <v>61</v>
      </c>
      <c r="N327" s="4" t="s">
        <v>7</v>
      </c>
      <c r="O327" s="4" t="s">
        <v>9</v>
      </c>
      <c r="P327" s="2" t="s">
        <v>25</v>
      </c>
      <c r="Q327" s="2" t="s">
        <v>7</v>
      </c>
      <c r="R327" s="2" t="s">
        <v>17</v>
      </c>
      <c r="S327" s="2" t="s">
        <v>27</v>
      </c>
      <c r="T327" s="2" t="s">
        <v>21</v>
      </c>
      <c r="W327" s="4">
        <v>1</v>
      </c>
      <c r="X327" s="4">
        <v>0</v>
      </c>
      <c r="Y327" s="4">
        <v>0</v>
      </c>
      <c r="Z327" s="4">
        <f t="shared" si="5"/>
        <v>1</v>
      </c>
    </row>
  </sheetData>
  <sortState ref="A3:XFD327">
    <sortCondition descending="1" ref="C3:C327"/>
  </sortState>
  <dataConsolidate/>
  <mergeCells count="1">
    <mergeCell ref="W1:Z1"/>
  </mergeCells>
  <dataValidations count="8">
    <dataValidation type="list" allowBlank="1" showInputMessage="1" showErrorMessage="1" sqref="Z3:Z4 W3:Y1048576">
      <formula1>$F$2:$F$4</formula1>
    </dataValidation>
    <dataValidation type="list" allowBlank="1" showInputMessage="1" showErrorMessage="1" sqref="P3:R9">
      <formula1>$B$2:$B$38</formula1>
    </dataValidation>
    <dataValidation type="list" allowBlank="1" showInputMessage="1" showErrorMessage="1" sqref="S3:T3">
      <formula1>$B$2:$B$38</formula1>
    </dataValidation>
    <dataValidation type="list" allowBlank="1" showInputMessage="1" showErrorMessage="1" sqref="T6:T7">
      <formula1>$B$2:$B$38</formula1>
    </dataValidation>
    <dataValidation type="list" allowBlank="1" showInputMessage="1" showErrorMessage="1" sqref="T4">
      <formula1>$B$2:$B$38</formula1>
    </dataValidation>
    <dataValidation type="list" allowBlank="1" showInputMessage="1" showErrorMessage="1" sqref="P10:V1048576">
      <formula1>$B$2:$B$38</formula1>
    </dataValidation>
    <dataValidation type="list" allowBlank="1" showInputMessage="1" showErrorMessage="1" sqref="K3:K9">
      <formula1>$D$2:$D$18</formula1>
    </dataValidation>
    <dataValidation type="list" allowBlank="1" showInputMessage="1" showErrorMessage="1" sqref="K10:M1048576">
      <formula1>$D$2:$D$18</formula1>
    </dataValidation>
  </dataValidations>
  <hyperlinks>
    <hyperlink ref="B11" r:id="rId1"/>
    <hyperlink ref="B44" r:id="rId2"/>
    <hyperlink ref="B49" r:id="rId3"/>
    <hyperlink ref="B50" r:id="rId4"/>
    <hyperlink ref="B308" r:id="rId5"/>
    <hyperlink ref="B17" r:id="rId6"/>
    <hyperlink ref="B24" r:id="rId7"/>
    <hyperlink ref="B28" r:id="rId8"/>
    <hyperlink ref="B32" r:id="rId9"/>
    <hyperlink ref="B33" r:id="rId10"/>
    <hyperlink ref="B41" r:id="rId11"/>
    <hyperlink ref="B46" r:id="rId12"/>
    <hyperlink ref="B301" r:id="rId13"/>
    <hyperlink ref="B287" r:id="rId14"/>
    <hyperlink ref="B247" r:id="rId15"/>
    <hyperlink ref="B240" r:id="rId16"/>
    <hyperlink ref="B214" r:id="rId17"/>
    <hyperlink ref="B190" r:id="rId18"/>
    <hyperlink ref="B189" r:id="rId19"/>
    <hyperlink ref="B174" r:id="rId20"/>
    <hyperlink ref="B173" r:id="rId21"/>
    <hyperlink ref="B172" r:id="rId22"/>
    <hyperlink ref="B150" r:id="rId23"/>
    <hyperlink ref="B146" r:id="rId24"/>
    <hyperlink ref="B137" r:id="rId25"/>
    <hyperlink ref="B132" r:id="rId26"/>
    <hyperlink ref="B124" r:id="rId27"/>
    <hyperlink ref="B109" r:id="rId28"/>
    <hyperlink ref="B111" r:id="rId29"/>
    <hyperlink ref="B86" r:id="rId30"/>
    <hyperlink ref="B85" r:id="rId31"/>
    <hyperlink ref="B82" r:id="rId32"/>
    <hyperlink ref="B89" r:id="rId33"/>
    <hyperlink ref="B75" r:id="rId34"/>
    <hyperlink ref="B73" r:id="rId35"/>
    <hyperlink ref="B72" r:id="rId36"/>
    <hyperlink ref="B135" r:id="rId37"/>
    <hyperlink ref="B10" r:id="rId38"/>
    <hyperlink ref="B16" r:id="rId39"/>
    <hyperlink ref="B13" r:id="rId40"/>
    <hyperlink ref="B14" r:id="rId41"/>
    <hyperlink ref="B19" r:id="rId42"/>
    <hyperlink ref="B18" r:id="rId43"/>
    <hyperlink ref="B23" r:id="rId44"/>
    <hyperlink ref="B20" r:id="rId45"/>
    <hyperlink ref="B15" r:id="rId46"/>
    <hyperlink ref="B21" r:id="rId47"/>
    <hyperlink ref="B60" r:id="rId48"/>
    <hyperlink ref="B63" r:id="rId49"/>
    <hyperlink ref="B107" r:id="rId50"/>
    <hyperlink ref="B118" r:id="rId51"/>
    <hyperlink ref="B123" r:id="rId52"/>
    <hyperlink ref="B115" r:id="rId53"/>
    <hyperlink ref="B113" r:id="rId54"/>
    <hyperlink ref="B116" r:id="rId55"/>
    <hyperlink ref="B114" r:id="rId56"/>
    <hyperlink ref="B119" r:id="rId57"/>
    <hyperlink ref="B166" r:id="rId58"/>
    <hyperlink ref="B171" r:id="rId59"/>
    <hyperlink ref="B175" r:id="rId60"/>
    <hyperlink ref="B179" r:id="rId61"/>
    <hyperlink ref="B192" r:id="rId62"/>
    <hyperlink ref="B201" r:id="rId63"/>
    <hyperlink ref="B198" r:id="rId64"/>
    <hyperlink ref="B194" r:id="rId65"/>
    <hyperlink ref="B200" r:id="rId66"/>
    <hyperlink ref="B226" r:id="rId67"/>
    <hyperlink ref="B245" r:id="rId68"/>
    <hyperlink ref="B268" r:id="rId69"/>
    <hyperlink ref="B282" r:id="rId70"/>
    <hyperlink ref="B283" r:id="rId71"/>
    <hyperlink ref="B307" r:id="rId72"/>
    <hyperlink ref="B317" r:id="rId73"/>
    <hyperlink ref="B316" r:id="rId74"/>
    <hyperlink ref="B263" r:id="rId75"/>
    <hyperlink ref="B262" r:id="rId76"/>
    <hyperlink ref="B261" r:id="rId77"/>
    <hyperlink ref="B253" r:id="rId78"/>
    <hyperlink ref="B252" r:id="rId79"/>
    <hyperlink ref="B235" r:id="rId80"/>
    <hyperlink ref="B233" r:id="rId81"/>
    <hyperlink ref="B229" r:id="rId82"/>
    <hyperlink ref="B205" r:id="rId83"/>
    <hyperlink ref="B220" r:id="rId84"/>
    <hyperlink ref="B217" r:id="rId85"/>
    <hyperlink ref="B203" r:id="rId86"/>
    <hyperlink ref="B184" r:id="rId87"/>
    <hyperlink ref="B196" r:id="rId88"/>
    <hyperlink ref="B199" r:id="rId89"/>
    <hyperlink ref="B212" r:id="rId90"/>
    <hyperlink ref="B211" r:id="rId91"/>
    <hyperlink ref="B4" r:id="rId92"/>
    <hyperlink ref="B5" r:id="rId93"/>
    <hyperlink ref="B26" r:id="rId94"/>
    <hyperlink ref="B29" r:id="rId95"/>
    <hyperlink ref="B30" r:id="rId96"/>
    <hyperlink ref="B38" r:id="rId97"/>
    <hyperlink ref="B43" r:id="rId98"/>
    <hyperlink ref="B68" r:id="rId99"/>
    <hyperlink ref="B70" r:id="rId100"/>
    <hyperlink ref="B91" r:id="rId101"/>
    <hyperlink ref="B125" r:id="rId102"/>
    <hyperlink ref="B130" r:id="rId103"/>
    <hyperlink ref="B141" r:id="rId104"/>
    <hyperlink ref="B143" r:id="rId105"/>
    <hyperlink ref="B145" r:id="rId106"/>
    <hyperlink ref="B156" r:id="rId107"/>
    <hyperlink ref="B164" r:id="rId108"/>
    <hyperlink ref="B180" r:id="rId109"/>
    <hyperlink ref="B187" r:id="rId110"/>
    <hyperlink ref="B185" r:id="rId111"/>
    <hyperlink ref="B195" r:id="rId112"/>
    <hyperlink ref="B210" r:id="rId113"/>
    <hyperlink ref="B213" r:id="rId114"/>
    <hyperlink ref="B237" r:id="rId115"/>
    <hyperlink ref="B246" r:id="rId116"/>
    <hyperlink ref="B251" r:id="rId117"/>
    <hyperlink ref="B312" r:id="rId118"/>
    <hyperlink ref="B327" r:id="rId119"/>
    <hyperlink ref="B3" r:id="rId120"/>
    <hyperlink ref="B6" r:id="rId121"/>
    <hyperlink ref="B7" r:id="rId122"/>
    <hyperlink ref="B8" r:id="rId123"/>
    <hyperlink ref="B9" r:id="rId124"/>
    <hyperlink ref="B12" r:id="rId125"/>
    <hyperlink ref="B25" r:id="rId126"/>
    <hyperlink ref="B31" r:id="rId127"/>
    <hyperlink ref="B34" r:id="rId128"/>
    <hyperlink ref="B35" r:id="rId129"/>
    <hyperlink ref="B37" r:id="rId130"/>
    <hyperlink ref="B36" r:id="rId131"/>
    <hyperlink ref="B40" r:id="rId132"/>
    <hyperlink ref="B45" r:id="rId133"/>
    <hyperlink ref="B47" r:id="rId134"/>
    <hyperlink ref="B48" r:id="rId135"/>
    <hyperlink ref="B51" r:id="rId136"/>
    <hyperlink ref="B52" r:id="rId137"/>
    <hyperlink ref="B54" r:id="rId138"/>
    <hyperlink ref="B56" r:id="rId139"/>
    <hyperlink ref="B58" r:id="rId140"/>
    <hyperlink ref="B55" r:id="rId141"/>
    <hyperlink ref="B57" r:id="rId142"/>
    <hyperlink ref="B61" r:id="rId143"/>
    <hyperlink ref="B62" r:id="rId144"/>
    <hyperlink ref="B65" r:id="rId145"/>
    <hyperlink ref="B67" r:id="rId146"/>
    <hyperlink ref="B71" r:id="rId147"/>
    <hyperlink ref="B74" r:id="rId148"/>
    <hyperlink ref="B77" r:id="rId149"/>
    <hyperlink ref="B76" r:id="rId150"/>
    <hyperlink ref="B78" r:id="rId151"/>
    <hyperlink ref="B80" r:id="rId152"/>
    <hyperlink ref="B83" r:id="rId153"/>
    <hyperlink ref="B92" r:id="rId154"/>
    <hyperlink ref="B99" r:id="rId155"/>
    <hyperlink ref="B101" r:id="rId156"/>
    <hyperlink ref="B103" r:id="rId157"/>
    <hyperlink ref="B105" r:id="rId158"/>
    <hyperlink ref="B106" r:id="rId159"/>
    <hyperlink ref="B110" r:id="rId160"/>
    <hyperlink ref="B112" r:id="rId161"/>
    <hyperlink ref="B117" r:id="rId162"/>
    <hyperlink ref="B120" r:id="rId163"/>
    <hyperlink ref="B126" r:id="rId164"/>
    <hyperlink ref="B127" r:id="rId165"/>
    <hyperlink ref="B129" r:id="rId166"/>
    <hyperlink ref="B131" r:id="rId167"/>
    <hyperlink ref="B133" r:id="rId168"/>
    <hyperlink ref="B134" r:id="rId169"/>
    <hyperlink ref="B138" r:id="rId170"/>
    <hyperlink ref="B139" r:id="rId171"/>
    <hyperlink ref="B140" r:id="rId172"/>
    <hyperlink ref="B142" r:id="rId173"/>
    <hyperlink ref="B144" r:id="rId174"/>
    <hyperlink ref="B148" r:id="rId175"/>
    <hyperlink ref="B152" r:id="rId176"/>
    <hyperlink ref="B151" r:id="rId177"/>
    <hyperlink ref="B153" r:id="rId178"/>
    <hyperlink ref="B158" r:id="rId179"/>
    <hyperlink ref="B160" r:id="rId180"/>
    <hyperlink ref="B157" r:id="rId181"/>
    <hyperlink ref="B161" r:id="rId182"/>
    <hyperlink ref="B162" r:id="rId183"/>
    <hyperlink ref="B168" r:id="rId184"/>
    <hyperlink ref="B169" r:id="rId185"/>
    <hyperlink ref="B170" r:id="rId186"/>
    <hyperlink ref="B176" r:id="rId187"/>
    <hyperlink ref="B178" r:id="rId188"/>
    <hyperlink ref="B183" r:id="rId189"/>
    <hyperlink ref="B186" r:id="rId190"/>
    <hyperlink ref="B193" r:id="rId191"/>
    <hyperlink ref="B202" r:id="rId192"/>
    <hyperlink ref="B197" r:id="rId193"/>
    <hyperlink ref="B209" r:id="rId194"/>
    <hyperlink ref="B204" r:id="rId195"/>
    <hyperlink ref="B215" r:id="rId196"/>
    <hyperlink ref="B218" r:id="rId197"/>
    <hyperlink ref="B216" r:id="rId198"/>
    <hyperlink ref="B221" r:id="rId199"/>
    <hyperlink ref="B224" r:id="rId200"/>
    <hyperlink ref="B228" r:id="rId201"/>
    <hyperlink ref="B227" r:id="rId202"/>
    <hyperlink ref="B230" r:id="rId203"/>
    <hyperlink ref="B232" r:id="rId204"/>
    <hyperlink ref="B236" r:id="rId205"/>
    <hyperlink ref="B239" r:id="rId206"/>
    <hyperlink ref="B238" r:id="rId207"/>
    <hyperlink ref="B242" r:id="rId208"/>
    <hyperlink ref="B250" r:id="rId209"/>
    <hyperlink ref="B254" r:id="rId210"/>
    <hyperlink ref="B255" r:id="rId211"/>
    <hyperlink ref="B256" r:id="rId212"/>
    <hyperlink ref="B257" r:id="rId213"/>
    <hyperlink ref="B259" r:id="rId214"/>
    <hyperlink ref="B260" r:id="rId215"/>
    <hyperlink ref="B265" r:id="rId216"/>
    <hyperlink ref="B269" r:id="rId217"/>
    <hyperlink ref="B273" r:id="rId218"/>
    <hyperlink ref="B272" r:id="rId219"/>
    <hyperlink ref="B274" r:id="rId220"/>
    <hyperlink ref="B271" r:id="rId221"/>
    <hyperlink ref="B277" r:id="rId222"/>
    <hyperlink ref="B278" r:id="rId223"/>
    <hyperlink ref="B280" r:id="rId224"/>
    <hyperlink ref="B279" r:id="rId225"/>
    <hyperlink ref="B281" r:id="rId226"/>
    <hyperlink ref="B288" r:id="rId227"/>
    <hyperlink ref="B289" r:id="rId228"/>
    <hyperlink ref="B290" r:id="rId229"/>
    <hyperlink ref="B285" r:id="rId230"/>
    <hyperlink ref="B291" r:id="rId231"/>
    <hyperlink ref="B292" r:id="rId232"/>
    <hyperlink ref="B293" r:id="rId233"/>
    <hyperlink ref="B294" r:id="rId234"/>
    <hyperlink ref="B295" r:id="rId235"/>
    <hyperlink ref="B297" r:id="rId236"/>
    <hyperlink ref="B299" r:id="rId237"/>
    <hyperlink ref="B298" r:id="rId238"/>
    <hyperlink ref="B304" r:id="rId239"/>
    <hyperlink ref="B302" r:id="rId240"/>
    <hyperlink ref="B303" r:id="rId241"/>
    <hyperlink ref="B305" r:id="rId242"/>
    <hyperlink ref="B306" r:id="rId243"/>
    <hyperlink ref="B318" r:id="rId244"/>
    <hyperlink ref="B314" r:id="rId245"/>
    <hyperlink ref="B311" r:id="rId246"/>
    <hyperlink ref="B319" r:id="rId247"/>
    <hyperlink ref="B320" r:id="rId248"/>
    <hyperlink ref="B321" r:id="rId249"/>
    <hyperlink ref="B322" r:id="rId250"/>
    <hyperlink ref="B323" r:id="rId251"/>
    <hyperlink ref="B310" r:id="rId252"/>
    <hyperlink ref="B313" r:id="rId253"/>
    <hyperlink ref="B309" r:id="rId254"/>
    <hyperlink ref="B326" r:id="rId255"/>
    <hyperlink ref="B27" r:id="rId256"/>
    <hyperlink ref="B94" r:id="rId257"/>
    <hyperlink ref="B88" r:id="rId258"/>
    <hyperlink ref="B97" r:id="rId259"/>
    <hyperlink ref="B95" r:id="rId260"/>
    <hyperlink ref="B98" r:id="rId261"/>
    <hyperlink ref="B102" r:id="rId262"/>
    <hyperlink ref="B121" r:id="rId263"/>
    <hyperlink ref="B122" r:id="rId264"/>
    <hyperlink ref="B128" r:id="rId265"/>
    <hyperlink ref="B136" r:id="rId266"/>
    <hyperlink ref="B154" r:id="rId267"/>
    <hyperlink ref="B155" r:id="rId268"/>
    <hyperlink ref="B159" r:id="rId269"/>
    <hyperlink ref="B163" r:id="rId270"/>
    <hyperlink ref="B182" r:id="rId271"/>
    <hyperlink ref="B191" r:id="rId272"/>
    <hyperlink ref="B188" r:id="rId273"/>
    <hyperlink ref="B208" r:id="rId274"/>
    <hyperlink ref="B207" r:id="rId275"/>
    <hyperlink ref="B222" r:id="rId276"/>
    <hyperlink ref="B225" r:id="rId277"/>
    <hyperlink ref="B241" r:id="rId278"/>
    <hyperlink ref="B243" r:id="rId279"/>
    <hyperlink ref="B244" r:id="rId280"/>
    <hyperlink ref="B248" r:id="rId281"/>
    <hyperlink ref="B258" r:id="rId282"/>
    <hyperlink ref="B284" r:id="rId283"/>
    <hyperlink ref="B286" r:id="rId284"/>
    <hyperlink ref="B300" r:id="rId285"/>
    <hyperlink ref="B296" r:id="rId286"/>
    <hyperlink ref="B324" r:id="rId287"/>
    <hyperlink ref="B315" r:id="rId288"/>
    <hyperlink ref="B325" r:id="rId289"/>
    <hyperlink ref="B42" r:id="rId290"/>
    <hyperlink ref="B147" r:id="rId291"/>
    <hyperlink ref="B165" r:id="rId292"/>
    <hyperlink ref="B206" r:id="rId293"/>
    <hyperlink ref="B223" r:id="rId294"/>
    <hyperlink ref="B231" r:id="rId295"/>
    <hyperlink ref="B266" r:id="rId296"/>
    <hyperlink ref="B270" r:id="rId297"/>
    <hyperlink ref="B276" r:id="rId298"/>
    <hyperlink ref="B79" r:id="rId299"/>
    <hyperlink ref="B100" r:id="rId300"/>
  </hyperlinks>
  <pageMargins left="0.7" right="0.7" top="0.75" bottom="0.75" header="0.3" footer="0.3"/>
  <pageSetup orientation="portrait" horizontalDpi="300" r:id="rId301"/>
  <extLst>
    <ext xmlns:x14="http://schemas.microsoft.com/office/spreadsheetml/2009/9/main" uri="{CCE6A557-97BC-4b89-ADB6-D9C93CAAB3DF}">
      <x14:dataValidations xmlns:xm="http://schemas.microsoft.com/office/excel/2006/main" count="5">
        <x14:dataValidation type="list" allowBlank="1" showInputMessage="1" showErrorMessage="1">
          <x14:formula1>
            <xm:f>'Cell values'!$A$2:$A$7</xm:f>
          </x14:formula1>
          <xm:sqref>N3:O1048576</xm:sqref>
        </x14:dataValidation>
        <x14:dataValidation type="list" allowBlank="1" showInputMessage="1" showErrorMessage="1">
          <x14:formula1>
            <xm:f>'Cell values'!$B$2:$B$38</xm:f>
          </x14:formula1>
          <xm:sqref>S8:T9</xm:sqref>
        </x14:dataValidation>
        <x14:dataValidation type="list" allowBlank="1" showInputMessage="1" showErrorMessage="1">
          <x14:formula1>
            <xm:f>'Cell values'!$D$2:$D$18</xm:f>
          </x14:formula1>
          <xm:sqref>L5:M9</xm:sqref>
        </x14:dataValidation>
        <x14:dataValidation type="list" allowBlank="1" showInputMessage="1" showErrorMessage="1">
          <x14:formula1>
            <xm:f>'Cell values'!$E$2:$E$4</xm:f>
          </x14:formula1>
          <xm:sqref>W1:Y1</xm:sqref>
        </x14:dataValidation>
        <x14:dataValidation type="list" allowBlank="1" showInputMessage="1" showErrorMessage="1">
          <x14:formula1>
            <xm:f>'Cell values'!$C$2:$C$8</xm:f>
          </x14:formula1>
          <xm:sqref>F3:J1048576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E38"/>
  <sheetViews>
    <sheetView workbookViewId="0">
      <selection activeCell="E16" sqref="E16"/>
    </sheetView>
  </sheetViews>
  <sheetFormatPr defaultRowHeight="15" x14ac:dyDescent="0.25"/>
  <cols>
    <col min="1" max="1" width="18.85546875" customWidth="1"/>
    <col min="2" max="2" width="31.140625" customWidth="1"/>
    <col min="3" max="3" width="21.7109375" customWidth="1"/>
    <col min="4" max="4" width="29.140625" customWidth="1"/>
    <col min="5" max="5" width="17.28515625" customWidth="1"/>
  </cols>
  <sheetData>
    <row r="1" spans="1:5" x14ac:dyDescent="0.25">
      <c r="A1" s="1" t="s">
        <v>2</v>
      </c>
      <c r="B1" s="1" t="s">
        <v>3</v>
      </c>
      <c r="C1" s="1" t="s">
        <v>53</v>
      </c>
      <c r="D1" s="1" t="s">
        <v>58</v>
      </c>
      <c r="E1" s="1" t="s">
        <v>186</v>
      </c>
    </row>
    <row r="2" spans="1:5" x14ac:dyDescent="0.25">
      <c r="A2" t="s">
        <v>4</v>
      </c>
      <c r="B2" t="s">
        <v>13</v>
      </c>
      <c r="C2" t="s">
        <v>1032</v>
      </c>
      <c r="D2" t="s">
        <v>75</v>
      </c>
      <c r="E2">
        <v>0</v>
      </c>
    </row>
    <row r="3" spans="1:5" x14ac:dyDescent="0.25">
      <c r="A3" t="s">
        <v>5</v>
      </c>
      <c r="B3" t="s">
        <v>14</v>
      </c>
      <c r="C3" t="s">
        <v>187</v>
      </c>
      <c r="D3" t="s">
        <v>581</v>
      </c>
      <c r="E3">
        <v>0.5</v>
      </c>
    </row>
    <row r="4" spans="1:5" x14ac:dyDescent="0.25">
      <c r="A4" t="s">
        <v>6</v>
      </c>
      <c r="B4" t="s">
        <v>15</v>
      </c>
      <c r="C4" t="s">
        <v>21</v>
      </c>
      <c r="D4" t="s">
        <v>60</v>
      </c>
      <c r="E4">
        <v>1</v>
      </c>
    </row>
    <row r="5" spans="1:5" x14ac:dyDescent="0.25">
      <c r="A5" t="s">
        <v>7</v>
      </c>
      <c r="B5" t="s">
        <v>7</v>
      </c>
      <c r="C5" t="s">
        <v>56</v>
      </c>
      <c r="D5" t="s">
        <v>61</v>
      </c>
    </row>
    <row r="6" spans="1:5" x14ac:dyDescent="0.25">
      <c r="A6" t="s">
        <v>8</v>
      </c>
      <c r="B6" t="s">
        <v>16</v>
      </c>
      <c r="C6" t="s">
        <v>45</v>
      </c>
      <c r="D6" t="s">
        <v>62</v>
      </c>
    </row>
    <row r="7" spans="1:5" x14ac:dyDescent="0.25">
      <c r="A7" t="s">
        <v>9</v>
      </c>
      <c r="B7" t="s">
        <v>17</v>
      </c>
      <c r="C7" t="s">
        <v>55</v>
      </c>
      <c r="D7" t="s">
        <v>63</v>
      </c>
    </row>
    <row r="8" spans="1:5" x14ac:dyDescent="0.25">
      <c r="B8" t="s">
        <v>18</v>
      </c>
      <c r="C8" t="s">
        <v>54</v>
      </c>
      <c r="D8" t="s">
        <v>64</v>
      </c>
    </row>
    <row r="9" spans="1:5" x14ac:dyDescent="0.25">
      <c r="B9" t="s">
        <v>19</v>
      </c>
      <c r="D9" t="s">
        <v>65</v>
      </c>
    </row>
    <row r="10" spans="1:5" x14ac:dyDescent="0.25">
      <c r="B10" t="s">
        <v>20</v>
      </c>
      <c r="D10" t="s">
        <v>66</v>
      </c>
    </row>
    <row r="11" spans="1:5" x14ac:dyDescent="0.25">
      <c r="B11" t="s">
        <v>21</v>
      </c>
      <c r="D11" t="s">
        <v>67</v>
      </c>
    </row>
    <row r="12" spans="1:5" x14ac:dyDescent="0.25">
      <c r="B12" t="s">
        <v>22</v>
      </c>
      <c r="D12" t="s">
        <v>68</v>
      </c>
    </row>
    <row r="13" spans="1:5" x14ac:dyDescent="0.25">
      <c r="B13" t="s">
        <v>23</v>
      </c>
      <c r="D13" t="s">
        <v>69</v>
      </c>
    </row>
    <row r="14" spans="1:5" x14ac:dyDescent="0.25">
      <c r="B14" t="s">
        <v>24</v>
      </c>
      <c r="D14" t="s">
        <v>70</v>
      </c>
    </row>
    <row r="15" spans="1:5" x14ac:dyDescent="0.25">
      <c r="B15" t="s">
        <v>25</v>
      </c>
      <c r="D15" t="s">
        <v>71</v>
      </c>
    </row>
    <row r="16" spans="1:5" x14ac:dyDescent="0.25">
      <c r="B16" t="s">
        <v>26</v>
      </c>
      <c r="D16" t="s">
        <v>72</v>
      </c>
    </row>
    <row r="17" spans="2:4" x14ac:dyDescent="0.25">
      <c r="B17" t="s">
        <v>27</v>
      </c>
      <c r="D17" t="s">
        <v>73</v>
      </c>
    </row>
    <row r="18" spans="2:4" x14ac:dyDescent="0.25">
      <c r="B18" t="s">
        <v>28</v>
      </c>
      <c r="D18" t="s">
        <v>74</v>
      </c>
    </row>
    <row r="19" spans="2:4" x14ac:dyDescent="0.25">
      <c r="B19" t="s">
        <v>29</v>
      </c>
    </row>
    <row r="20" spans="2:4" x14ac:dyDescent="0.25">
      <c r="B20" t="s">
        <v>30</v>
      </c>
    </row>
    <row r="21" spans="2:4" x14ac:dyDescent="0.25">
      <c r="B21" t="s">
        <v>31</v>
      </c>
    </row>
    <row r="22" spans="2:4" x14ac:dyDescent="0.25">
      <c r="B22" t="s">
        <v>32</v>
      </c>
    </row>
    <row r="23" spans="2:4" x14ac:dyDescent="0.25">
      <c r="B23" t="s">
        <v>33</v>
      </c>
    </row>
    <row r="24" spans="2:4" x14ac:dyDescent="0.25">
      <c r="B24" t="s">
        <v>34</v>
      </c>
    </row>
    <row r="25" spans="2:4" x14ac:dyDescent="0.25">
      <c r="B25" t="s">
        <v>35</v>
      </c>
    </row>
    <row r="26" spans="2:4" x14ac:dyDescent="0.25">
      <c r="B26" t="s">
        <v>36</v>
      </c>
    </row>
    <row r="27" spans="2:4" x14ac:dyDescent="0.25">
      <c r="B27" t="s">
        <v>37</v>
      </c>
    </row>
    <row r="28" spans="2:4" x14ac:dyDescent="0.25">
      <c r="B28" t="s">
        <v>38</v>
      </c>
    </row>
    <row r="29" spans="2:4" x14ac:dyDescent="0.25">
      <c r="B29" t="s">
        <v>39</v>
      </c>
    </row>
    <row r="30" spans="2:4" x14ac:dyDescent="0.25">
      <c r="B30" t="s">
        <v>40</v>
      </c>
    </row>
    <row r="31" spans="2:4" x14ac:dyDescent="0.25">
      <c r="B31" t="s">
        <v>41</v>
      </c>
    </row>
    <row r="32" spans="2:4" x14ac:dyDescent="0.25">
      <c r="B32" t="s">
        <v>42</v>
      </c>
    </row>
    <row r="33" spans="2:2" x14ac:dyDescent="0.25">
      <c r="B33" t="s">
        <v>43</v>
      </c>
    </row>
    <row r="34" spans="2:2" x14ac:dyDescent="0.25">
      <c r="B34" t="s">
        <v>44</v>
      </c>
    </row>
    <row r="35" spans="2:2" x14ac:dyDescent="0.25">
      <c r="B35" t="s">
        <v>45</v>
      </c>
    </row>
    <row r="36" spans="2:2" x14ac:dyDescent="0.25">
      <c r="B36" t="s">
        <v>46</v>
      </c>
    </row>
    <row r="37" spans="2:2" x14ac:dyDescent="0.25">
      <c r="B37" t="s">
        <v>47</v>
      </c>
    </row>
    <row r="38" spans="2:2" x14ac:dyDescent="0.25">
      <c r="B38" t="s">
        <v>48</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AU27"/>
  <sheetViews>
    <sheetView topLeftCell="X1" zoomScaleNormal="100" workbookViewId="0">
      <selection activeCell="AM18" sqref="AM18"/>
    </sheetView>
  </sheetViews>
  <sheetFormatPr defaultRowHeight="15" x14ac:dyDescent="0.25"/>
  <cols>
    <col min="1" max="1" width="26.42578125" customWidth="1"/>
    <col min="2" max="2" width="26.7109375" customWidth="1"/>
    <col min="4" max="4" width="11.85546875" customWidth="1"/>
    <col min="6" max="6" width="18.28515625" customWidth="1"/>
    <col min="8" max="8" width="17.85546875" customWidth="1"/>
    <col min="14" max="14" width="12.28515625" customWidth="1"/>
    <col min="15" max="15" width="8.85546875" customWidth="1"/>
    <col min="16" max="16" width="8.28515625" customWidth="1"/>
    <col min="17" max="17" width="8.85546875" customWidth="1"/>
    <col min="18" max="21" width="8.5703125" customWidth="1"/>
    <col min="40" max="40" width="10.7109375" customWidth="1"/>
  </cols>
  <sheetData>
    <row r="1" spans="1:47" x14ac:dyDescent="0.25">
      <c r="A1" s="1" t="s">
        <v>1170</v>
      </c>
      <c r="B1" s="1" t="s">
        <v>58</v>
      </c>
      <c r="C1" s="1" t="s">
        <v>582</v>
      </c>
      <c r="D1" s="1" t="s">
        <v>583</v>
      </c>
      <c r="F1" s="1" t="s">
        <v>10</v>
      </c>
      <c r="G1" s="1" t="s">
        <v>582</v>
      </c>
      <c r="H1" s="1" t="s">
        <v>11</v>
      </c>
      <c r="I1" s="1" t="s">
        <v>582</v>
      </c>
      <c r="J1" s="1" t="s">
        <v>188</v>
      </c>
      <c r="K1" s="1" t="s">
        <v>584</v>
      </c>
      <c r="L1" s="1"/>
      <c r="M1" s="1" t="s">
        <v>585</v>
      </c>
      <c r="N1" s="1"/>
      <c r="X1" s="1" t="s">
        <v>1165</v>
      </c>
      <c r="AC1" s="1" t="s">
        <v>1169</v>
      </c>
      <c r="AH1" s="1" t="s">
        <v>1203</v>
      </c>
      <c r="AN1" s="122" t="s">
        <v>1208</v>
      </c>
      <c r="AO1" s="122" t="s">
        <v>1172</v>
      </c>
      <c r="AP1" s="121" t="s">
        <v>21</v>
      </c>
      <c r="AQ1" s="121"/>
      <c r="AR1" s="121" t="s">
        <v>187</v>
      </c>
      <c r="AS1" s="121"/>
      <c r="AT1" s="121" t="s">
        <v>56</v>
      </c>
      <c r="AU1" s="121"/>
    </row>
    <row r="2" spans="1:47" x14ac:dyDescent="0.25">
      <c r="A2" s="8"/>
      <c r="B2" t="s">
        <v>72</v>
      </c>
      <c r="C2">
        <f>COUNTIF(Records!K:M, "Efficiency")</f>
        <v>115</v>
      </c>
      <c r="D2" s="7">
        <f>C2/258</f>
        <v>0.44573643410852715</v>
      </c>
      <c r="F2" t="s">
        <v>5</v>
      </c>
      <c r="G2">
        <f>COUNTIFS(Records!N:N, "Programming", Records!Z:Z,"&gt;0" )</f>
        <v>88</v>
      </c>
      <c r="H2" t="s">
        <v>5</v>
      </c>
      <c r="I2">
        <f>COUNTIFS(Records!O:O,"Programming",Records!Z:Z,"&gt;0")</f>
        <v>73</v>
      </c>
      <c r="J2">
        <f t="shared" ref="J2:J7" si="0">G2+I2</f>
        <v>161</v>
      </c>
      <c r="K2">
        <f t="shared" ref="K2:K7" si="1">J2/258</f>
        <v>0.62403100775193798</v>
      </c>
      <c r="N2" s="1" t="s">
        <v>587</v>
      </c>
      <c r="O2" s="120" t="s">
        <v>1171</v>
      </c>
      <c r="P2" s="120"/>
      <c r="Q2" s="120"/>
      <c r="R2" s="120"/>
      <c r="S2" s="120"/>
      <c r="T2" s="120"/>
      <c r="U2" s="120"/>
      <c r="V2" s="1" t="s">
        <v>588</v>
      </c>
      <c r="X2" t="s">
        <v>1166</v>
      </c>
      <c r="Y2" t="s">
        <v>1167</v>
      </c>
      <c r="Z2" t="s">
        <v>1168</v>
      </c>
      <c r="AA2" t="s">
        <v>188</v>
      </c>
      <c r="AC2" t="s">
        <v>1171</v>
      </c>
      <c r="AD2" t="s">
        <v>1172</v>
      </c>
      <c r="AI2" s="23">
        <v>0.5</v>
      </c>
      <c r="AJ2">
        <v>1</v>
      </c>
      <c r="AK2" s="23" t="s">
        <v>188</v>
      </c>
      <c r="AM2" s="23"/>
      <c r="AN2" s="122"/>
      <c r="AO2" s="122"/>
      <c r="AP2" s="1">
        <v>0.5</v>
      </c>
      <c r="AQ2" s="1">
        <v>1</v>
      </c>
      <c r="AR2" s="1">
        <v>0.5</v>
      </c>
      <c r="AS2" s="1">
        <v>1</v>
      </c>
      <c r="AT2" s="1">
        <v>0.5</v>
      </c>
      <c r="AU2" s="1">
        <v>1</v>
      </c>
    </row>
    <row r="3" spans="1:47" x14ac:dyDescent="0.3">
      <c r="B3" t="s">
        <v>68</v>
      </c>
      <c r="C3">
        <f>COUNTIF(Records!K:M, "Safety")</f>
        <v>97</v>
      </c>
      <c r="D3" s="7">
        <f t="shared" ref="D3:D18" si="2">C3/258</f>
        <v>0.37596899224806202</v>
      </c>
      <c r="F3" t="s">
        <v>4</v>
      </c>
      <c r="G3">
        <f>COUNTIFS(Records!N:N, "Systems Planning",Records!Z:Z,"&gt;0" )</f>
        <v>91</v>
      </c>
      <c r="H3" t="s">
        <v>4</v>
      </c>
      <c r="I3">
        <f>COUNTIFS(Records!O:O,"Systems Planning",Records!Z:Z,"&gt;0")</f>
        <v>2</v>
      </c>
      <c r="J3">
        <f t="shared" si="0"/>
        <v>93</v>
      </c>
      <c r="K3">
        <f t="shared" si="1"/>
        <v>0.36046511627906974</v>
      </c>
      <c r="M3" s="1" t="s">
        <v>586</v>
      </c>
      <c r="O3" s="57">
        <v>0</v>
      </c>
      <c r="P3" s="57">
        <v>0.5</v>
      </c>
      <c r="Q3" s="57">
        <v>1</v>
      </c>
      <c r="R3" s="57">
        <v>1.5</v>
      </c>
      <c r="S3" s="57">
        <v>2</v>
      </c>
      <c r="T3" s="57">
        <v>2.5</v>
      </c>
      <c r="U3" s="57">
        <v>3</v>
      </c>
      <c r="X3" s="20">
        <f>COUNTIFS(Records!W:W,"&gt;0",Records!X:X,"=0",Records!Y:Y,"=0")+COUNTIFS(Records!W:W,"=0",Records!X:X,"&gt;0",Records!Y:Y,"=0")+COUNTIFS(Records!W:W,"=0",Records!X:X,"=0",Records!Y:Y,"&gt;0")</f>
        <v>144</v>
      </c>
      <c r="Y3" s="20">
        <f>COUNTIFS(Records!W:W,"&gt;0",Records!X:X,"&gt;0",Records!Y:Y,"=0")+COUNTIFS(Records!W:W,"&gt;0",Records!X:X,"=0",Records!Y:Y,"&gt;0")+COUNTIFS(Records!W:W,"=0",Records!X:X,"&gt;0",Records!Y:Y,"&gt;0")</f>
        <v>82</v>
      </c>
      <c r="Z3" s="20">
        <f>COUNTIFS(Records!W:W,"&gt;0",Records!X:X,"&gt;0",Records!Y:Y,"&gt;0")</f>
        <v>32</v>
      </c>
      <c r="AA3" s="20">
        <f>COUNTIFS(Records!Z:Z,"&gt;0")</f>
        <v>258</v>
      </c>
      <c r="AC3">
        <v>1.5</v>
      </c>
      <c r="AD3">
        <f>COUNTIFS(Records!W:W,"&gt;0",Records!X:X,"&gt;0",Records!Y:Y,"&gt;0",Records!Z:Z,"=1.5")</f>
        <v>16</v>
      </c>
      <c r="AH3" s="23" t="s">
        <v>21</v>
      </c>
      <c r="AI3">
        <f>COUNTIFS(Records!W:W,"=0.5")</f>
        <v>69</v>
      </c>
      <c r="AJ3">
        <f>COUNTIFS(Records!W:W,"=1")</f>
        <v>27</v>
      </c>
      <c r="AK3">
        <f>SUM(AI3:AJ3)</f>
        <v>96</v>
      </c>
      <c r="AN3" t="s">
        <v>1214</v>
      </c>
      <c r="AO3">
        <f>COUNTIF(Records!Z:Z,0)</f>
        <v>67</v>
      </c>
      <c r="AP3" t="s">
        <v>1224</v>
      </c>
      <c r="AQ3" t="s">
        <v>1224</v>
      </c>
      <c r="AR3" t="s">
        <v>1224</v>
      </c>
      <c r="AS3" t="s">
        <v>1224</v>
      </c>
      <c r="AT3" t="s">
        <v>1224</v>
      </c>
      <c r="AU3" t="s">
        <v>1224</v>
      </c>
    </row>
    <row r="4" spans="1:47" ht="14.45" x14ac:dyDescent="0.3">
      <c r="B4" t="s">
        <v>67</v>
      </c>
      <c r="C4">
        <f>COUNTIF(Records!K:M, "Access")</f>
        <v>56</v>
      </c>
      <c r="D4" s="7">
        <f t="shared" si="2"/>
        <v>0.21705426356589147</v>
      </c>
      <c r="F4" t="s">
        <v>8</v>
      </c>
      <c r="G4">
        <f>COUNTIFS(Records!N:N, "Operations",Records!Z:Z,"&gt;0" )</f>
        <v>19</v>
      </c>
      <c r="H4" t="s">
        <v>8</v>
      </c>
      <c r="I4">
        <f>COUNTIFS(Records!O:O,"Operations",Records!Z:Z,"&gt;0")</f>
        <v>66</v>
      </c>
      <c r="J4">
        <f t="shared" si="0"/>
        <v>85</v>
      </c>
      <c r="K4">
        <f t="shared" si="1"/>
        <v>0.32945736434108525</v>
      </c>
      <c r="M4" s="8">
        <v>2006</v>
      </c>
      <c r="N4">
        <f>COUNTIFS(Records!C:C,"&lt;12/31/2006",Records!C:C,"&gt;1/1/2006")</f>
        <v>26</v>
      </c>
      <c r="O4">
        <f>COUNTIFS(Records!C:C,"&lt;12/31/2006",Records!C:C,"&gt;1/1/2006",Records!Z:Z,0)</f>
        <v>2</v>
      </c>
      <c r="P4">
        <f>COUNTIFS(Records!C:C,"&lt;12/31/2006",Records!C:C,"&gt;1/1/2006",Records!Z:Z,0.5)</f>
        <v>16</v>
      </c>
      <c r="Q4">
        <f>COUNTIFS(Records!C:C,"&lt;12/31/2006",Records!C:C,"&gt;1/1/2006",Records!Z:Z,1)</f>
        <v>7</v>
      </c>
      <c r="R4">
        <f>COUNTIFS(Records!C:C,"&lt;12/31/2006",Records!C:C,"&gt;1/1/2006",Records!Z:Z,1.5)</f>
        <v>0</v>
      </c>
      <c r="S4">
        <f>COUNTIFS(Records!C:C,"&lt;12/31/2006",Records!C:C,"&gt;1/1/2006",Records!Z:Z,2)</f>
        <v>1</v>
      </c>
      <c r="T4">
        <f>COUNTIFS(Records!C:C,"&lt;12/31/2006",Records!C:C,"&gt;1/1/2006",Records!Z:Z,2.5)</f>
        <v>0</v>
      </c>
      <c r="U4">
        <f>COUNTIFS(Records!C:C,"&lt;12/31/2006",Records!C:C,"&gt;1/1/2006",Records!Z:Z,3)</f>
        <v>0</v>
      </c>
      <c r="V4" s="10">
        <f>(SUM(P4:U4)/N4)</f>
        <v>0.92307692307692313</v>
      </c>
      <c r="X4" s="10">
        <f>X3/AA3</f>
        <v>0.55813953488372092</v>
      </c>
      <c r="Y4" s="10">
        <f>Y3/AA3</f>
        <v>0.31782945736434109</v>
      </c>
      <c r="Z4" s="10">
        <f>Z3/AA3</f>
        <v>0.12403100775193798</v>
      </c>
      <c r="AC4">
        <v>2</v>
      </c>
      <c r="AD4">
        <f>COUNTIFS(Records!W:W,"&gt;0",Records!X:X,"&gt;0",Records!Y:Y,"&gt;0",Records!Z:Z,"=2")</f>
        <v>12</v>
      </c>
      <c r="AH4" s="23" t="s">
        <v>187</v>
      </c>
      <c r="AI4">
        <f>COUNTIFS(Records!X:X,"=0.5")</f>
        <v>119</v>
      </c>
      <c r="AJ4">
        <f>COUNTIFS(Records!X:X,"=1")</f>
        <v>12</v>
      </c>
      <c r="AK4">
        <f>SUM(AI4:AJ4)</f>
        <v>131</v>
      </c>
      <c r="AN4" t="s">
        <v>1215</v>
      </c>
      <c r="AO4">
        <f>COUNTIF(Records!Z:Z,0.5)</f>
        <v>123</v>
      </c>
      <c r="AP4">
        <f>COUNTIFS(Records!Z:Z,0.5, Records!W:W,"&gt;0")</f>
        <v>16</v>
      </c>
      <c r="AQ4">
        <v>0</v>
      </c>
      <c r="AR4">
        <f>COUNTIFS(Records!Z:Z,0.5, Records!X:X,"&gt;0")</f>
        <v>34</v>
      </c>
      <c r="AS4">
        <v>0</v>
      </c>
      <c r="AT4" s="64">
        <f>COUNTIFS(Records!Z:Z,0.5, Records!Y:Y,"&gt;0")</f>
        <v>73</v>
      </c>
      <c r="AU4">
        <v>0</v>
      </c>
    </row>
    <row r="5" spans="1:47" ht="14.45" x14ac:dyDescent="0.3">
      <c r="B5" t="s">
        <v>62</v>
      </c>
      <c r="C5">
        <f>COUNTIF(Records!K:M, "Emissions and Waste")</f>
        <v>44</v>
      </c>
      <c r="D5" s="7">
        <f t="shared" si="2"/>
        <v>0.17054263565891473</v>
      </c>
      <c r="F5" t="s">
        <v>7</v>
      </c>
      <c r="G5">
        <f>COUNTIFS(Records!N:N, "Construction",Records!Z:Z,"&gt;0" )</f>
        <v>38</v>
      </c>
      <c r="H5" t="s">
        <v>7</v>
      </c>
      <c r="I5">
        <f>COUNTIFS(Records!O:O,"Construction",Records!Z:Z,"&gt;0")</f>
        <v>6</v>
      </c>
      <c r="J5">
        <f t="shared" si="0"/>
        <v>44</v>
      </c>
      <c r="K5">
        <f t="shared" si="1"/>
        <v>0.17054263565891473</v>
      </c>
      <c r="M5" s="8">
        <v>2007</v>
      </c>
      <c r="N5">
        <f>COUNTIFS(Records!C:C,"&lt;12/31/2007",Records!C:C,"&gt;1/1/2007")</f>
        <v>123</v>
      </c>
      <c r="O5">
        <f>COUNTIFS(Records!C:C,"&lt;12/31/2007",Records!C:C,"&gt;1/1/2007",Records!Z:Z,0)</f>
        <v>22</v>
      </c>
      <c r="P5">
        <f>COUNTIFS(Records!C:C,"&lt;12/31/2007",Records!C:C,"&gt;1/1/2007",Records!Z:Z,0.5)</f>
        <v>40</v>
      </c>
      <c r="Q5">
        <f>COUNTIFS(Records!C:C,"&lt;12/31/2007",Records!C:C,"&gt;1/1/2007",Records!Z:Z,1)</f>
        <v>36</v>
      </c>
      <c r="R5">
        <f>COUNTIFS(Records!C:C,"&lt;12/31/2007",Records!C:C,"&gt;1/1/2007",Records!Z:Z,1.5)</f>
        <v>12</v>
      </c>
      <c r="S5">
        <f>COUNTIFS(Records!C:C,"&lt;12/31/2007",Records!C:C,"&gt;1/1/2007",Records!Z:Z,2)</f>
        <v>12</v>
      </c>
      <c r="T5">
        <f>COUNTIFS(Records!C:C,"&lt;12/31/2007",Records!C:C,"&gt;1/1/2007",Records!Z:Z,2.5)</f>
        <v>1</v>
      </c>
      <c r="U5">
        <f>COUNTIFS(Records!C:C,"&lt;12/31/2007",Records!C:C,"&gt;1/1/2007",Records!Z:Z,3)</f>
        <v>0</v>
      </c>
      <c r="V5" s="10">
        <f t="shared" ref="V5:V10" si="3">(SUM(P5:U5)/N5)</f>
        <v>0.82113821138211385</v>
      </c>
      <c r="AC5">
        <v>2.5</v>
      </c>
      <c r="AD5">
        <f>COUNTIFS(Records!W:W,"&gt;0",Records!X:X,"&gt;0",Records!Y:Y,"&gt;0",Records!Z:Z,"=2.5")</f>
        <v>3</v>
      </c>
      <c r="AH5" s="23" t="s">
        <v>1178</v>
      </c>
      <c r="AI5">
        <f>COUNTIFS(Records!Y:Y,"=0.5")</f>
        <v>156</v>
      </c>
      <c r="AJ5">
        <f>COUNTIFS(Records!Y:Y,"=1")</f>
        <v>21</v>
      </c>
      <c r="AK5">
        <f>SUM(AI5:AJ5)</f>
        <v>177</v>
      </c>
      <c r="AN5" t="s">
        <v>1216</v>
      </c>
      <c r="AO5">
        <f>COUNTIF(Records!Z:Z,1)</f>
        <v>88</v>
      </c>
      <c r="AP5">
        <f>COUNTIFS(Records!Z:Z,1, Records!W:W,"=0.5")</f>
        <v>27</v>
      </c>
      <c r="AQ5">
        <f>COUNTIFS(Records!Z:Z,1, Records!W:W,"=1")</f>
        <v>14</v>
      </c>
      <c r="AR5">
        <f>COUNTIFS(Records!Z:Z,1, Records!X:X,"=0.5")</f>
        <v>54</v>
      </c>
      <c r="AS5">
        <f>COUNTIFS(Records!Z:Z,1, Records!X:X,"=1")</f>
        <v>1</v>
      </c>
      <c r="AT5">
        <f>COUNTIFS(Records!Z:Z,1, Records!Y:Y,"=0.5")</f>
        <v>53</v>
      </c>
      <c r="AU5">
        <f>COUNTIFS(Records!Z:Z,1, Records!Y:Y,"=1")</f>
        <v>6</v>
      </c>
    </row>
    <row r="6" spans="1:47" ht="14.45" x14ac:dyDescent="0.3">
      <c r="B6" t="s">
        <v>69</v>
      </c>
      <c r="C6">
        <f>COUNTIF(Records!K:M, "Intragenerational Equity")</f>
        <v>39</v>
      </c>
      <c r="D6" s="7">
        <f t="shared" si="2"/>
        <v>0.15116279069767441</v>
      </c>
      <c r="F6" t="s">
        <v>9</v>
      </c>
      <c r="G6">
        <f>COUNTIFS(Records!N:N, "Maintenance",Records!Z:Z,"&gt;0" )</f>
        <v>15</v>
      </c>
      <c r="H6" t="s">
        <v>9</v>
      </c>
      <c r="I6">
        <f>COUNTIFS(Records!O:O,"Maintenance",Records!Z:Z,"&gt;0")</f>
        <v>28</v>
      </c>
      <c r="J6">
        <f t="shared" si="0"/>
        <v>43</v>
      </c>
      <c r="K6">
        <f t="shared" si="1"/>
        <v>0.16666666666666666</v>
      </c>
      <c r="M6" s="8">
        <v>2008</v>
      </c>
      <c r="N6">
        <f>COUNTIFS(Records!C:C,"&lt;12/31/2008",Records!C:C,"&gt;1/1/2008")</f>
        <v>35</v>
      </c>
      <c r="O6">
        <f>COUNTIFS(Records!C:C,"&lt;12/31/2008",Records!C:C,"&gt;1/1/2008",Records!Z:Z,0)</f>
        <v>9</v>
      </c>
      <c r="P6">
        <f>COUNTIFS(Records!C:C,"&lt;12/31/2008",Records!C:C,"&gt;1/1/2008",Records!Z:Z,0.5)</f>
        <v>17</v>
      </c>
      <c r="Q6">
        <f>COUNTIFS(Records!C:C,"&lt;12/31/2008",Records!C:C,"&gt;1/1/2008",Records!Z:Z,1)</f>
        <v>6</v>
      </c>
      <c r="R6">
        <f>COUNTIFS(Records!C:C,"&lt;12/31/2008",Records!C:C,"&gt;1/1/2008",Records!Z:Z,1.5)</f>
        <v>3</v>
      </c>
      <c r="S6">
        <f>COUNTIFS(Records!C:C,"&lt;12/31/2008",Records!C:C,"&gt;1/1/2008",Records!Z:Z,2)</f>
        <v>0</v>
      </c>
      <c r="T6">
        <f>COUNTIFS(Records!C:C,"&lt;12/31/2008",Records!C:C,"&gt;1/1/2008",Records!Z:Z,2.5)</f>
        <v>0</v>
      </c>
      <c r="U6">
        <f>COUNTIFS(Records!C:C,"&lt;12/31/2008",Records!C:C,"&gt;1/1/2008",Records!Z:Z,3)</f>
        <v>0</v>
      </c>
      <c r="V6" s="10">
        <f t="shared" si="3"/>
        <v>0.74285714285714288</v>
      </c>
      <c r="AC6">
        <v>3</v>
      </c>
      <c r="AD6">
        <f>COUNTIFS(Records!W:W,"&gt;0",Records!X:X,"&gt;0",Records!Y:Y,"&gt;0",Records!Z:Z,"=3")</f>
        <v>1</v>
      </c>
      <c r="AN6" t="s">
        <v>1217</v>
      </c>
      <c r="AO6">
        <f>COUNTIF(Records!Z:Z,1.5)</f>
        <v>28</v>
      </c>
      <c r="AP6">
        <f>COUNTIFS(Records!Z:Z,1.5, Records!W:W,"=0.5")</f>
        <v>17</v>
      </c>
      <c r="AQ6">
        <f>COUNTIFS(Records!Z:Z,1.5, Records!W:W,"=1")</f>
        <v>4</v>
      </c>
      <c r="AR6">
        <f>COUNTIFS(Records!Z:Z,1.5, Records!X:X,"=0.5")</f>
        <v>23</v>
      </c>
      <c r="AS6">
        <f>COUNTIFS(Records!Z:Z,1.5, Records!X:X,"=1")</f>
        <v>2</v>
      </c>
      <c r="AT6">
        <f>COUNTIFS(Records!Z:Z,1.5, Records!Y:Y,"=0.5")</f>
        <v>20</v>
      </c>
      <c r="AU6">
        <f>COUNTIFS(Records!Z:Z,1.5, Records!Y:Y,"=1")</f>
        <v>6</v>
      </c>
    </row>
    <row r="7" spans="1:47" ht="14.45" x14ac:dyDescent="0.3">
      <c r="B7" t="s">
        <v>75</v>
      </c>
      <c r="C7">
        <f>COUNTIF(Records!K:M, "Health/Environmental Damage")</f>
        <v>39</v>
      </c>
      <c r="D7" s="7">
        <f t="shared" si="2"/>
        <v>0.15116279069767441</v>
      </c>
      <c r="F7" t="s">
        <v>6</v>
      </c>
      <c r="G7">
        <f>COUNTIFS(Records!N:N, "Project Development", Records!Z:Z,"&gt;0" )</f>
        <v>7</v>
      </c>
      <c r="H7" t="s">
        <v>6</v>
      </c>
      <c r="I7">
        <f>COUNTIFS(Records!O:O,"Project Development",Records!Z:Z,"&gt;0")</f>
        <v>17</v>
      </c>
      <c r="J7">
        <f t="shared" si="0"/>
        <v>24</v>
      </c>
      <c r="K7">
        <f t="shared" si="1"/>
        <v>9.3023255813953487E-2</v>
      </c>
      <c r="M7" s="8">
        <v>2009</v>
      </c>
      <c r="N7">
        <f>COUNTIFS(Records!C:C,"&lt;12/31/2009",Records!C:C,"&gt;1/1/2009")</f>
        <v>24</v>
      </c>
      <c r="O7">
        <f>COUNTIFS(Records!C:C,"&lt;12/31/2009",Records!C:C,"&gt;1/1/2009",Records!Z:Z,0)</f>
        <v>10</v>
      </c>
      <c r="P7">
        <f>COUNTIFS(Records!C:C,"&lt;12/31/2009",Records!C:C,"&gt;1/1/2009",Records!Z:Z,0.5)</f>
        <v>8</v>
      </c>
      <c r="Q7">
        <f>COUNTIFS(Records!C:C,"&lt;12/31/2009",Records!C:C,"&gt;1/1/2009",Records!Z:Z,1)</f>
        <v>4</v>
      </c>
      <c r="R7">
        <f>COUNTIFS(Records!C:C,"&lt;12/31/2009",Records!C:C,"&gt;1/1/2009",Records!Z:Z,1.5)</f>
        <v>2</v>
      </c>
      <c r="S7">
        <f>COUNTIFS(Records!C:C,"&lt;12/31/2009",Records!C:C,"&gt;1/1/2009",Records!Z:Z,2)</f>
        <v>0</v>
      </c>
      <c r="T7">
        <f>COUNTIFS(Records!C:C,"&lt;12/31/2009",Records!C:C,"&gt;1/1/2009",Records!Z:Z,2.5)</f>
        <v>0</v>
      </c>
      <c r="U7">
        <f>COUNTIFS(Records!C:C,"&lt;12/31/2009",Records!C:C,"&gt;1/1/2009",Records!Z:Z,3)</f>
        <v>0</v>
      </c>
      <c r="V7" s="10">
        <f t="shared" si="3"/>
        <v>0.58333333333333337</v>
      </c>
      <c r="AN7" t="s">
        <v>1218</v>
      </c>
      <c r="AO7">
        <f>COUNTIF(Records!Z:Z,2)</f>
        <v>15</v>
      </c>
      <c r="AP7">
        <f>COUNTIFS(Records!Z:Z,2, Records!W:W,"=0.5")</f>
        <v>8</v>
      </c>
      <c r="AQ7">
        <f>COUNTIFS(Records!Z:Z,2, Records!W:W,"=1")</f>
        <v>6</v>
      </c>
      <c r="AR7">
        <f>COUNTIFS(Records!Z:Z,2, Records!X:X,"=0.5")</f>
        <v>8</v>
      </c>
      <c r="AS7">
        <f>COUNTIFS(Records!Z:Z,2, Records!X:X,"=1")</f>
        <v>5</v>
      </c>
      <c r="AT7">
        <f>COUNTIFS(Records!Z:Z,2, Records!Y:Y,"=0.5")</f>
        <v>8</v>
      </c>
      <c r="AU7">
        <f>COUNTIFS(Records!Z:Z,2, Records!Y:Y,"=1")</f>
        <v>7</v>
      </c>
    </row>
    <row r="8" spans="1:47" ht="14.45" x14ac:dyDescent="0.3">
      <c r="B8" t="s">
        <v>73</v>
      </c>
      <c r="C8">
        <f>COUNTIF(Records!K:M, "Social Cost")</f>
        <v>20</v>
      </c>
      <c r="D8" s="7">
        <f t="shared" si="2"/>
        <v>7.7519379844961239E-2</v>
      </c>
      <c r="M8" s="8">
        <v>2010</v>
      </c>
      <c r="N8">
        <f>COUNTIFS(Records!C:C,"&lt;12/31/2010",Records!C:C,"&gt;1/1/2010")</f>
        <v>60</v>
      </c>
      <c r="O8">
        <f>COUNTIFS(Records!C:C,"&lt;12/31/2010",Records!C:C,"&gt;1/1/2010",Records!Z:Z,0)</f>
        <v>6</v>
      </c>
      <c r="P8">
        <f>COUNTIFS(Records!C:C,"&lt;12/31/2010",Records!C:C,"&gt;1/1/2010",Records!Z:Z,0.5)</f>
        <v>16</v>
      </c>
      <c r="Q8">
        <f>COUNTIFS(Records!C:C,"&lt;12/31/2010",Records!C:C,"&gt;1/1/2010",Records!Z:Z,1)</f>
        <v>26</v>
      </c>
      <c r="R8">
        <f>COUNTIFS(Records!C:C,"&lt;12/31/2010",Records!C:C,"&gt;1/1/2010",Records!Z:Z,1.5)</f>
        <v>8</v>
      </c>
      <c r="S8">
        <f>COUNTIFS(Records!C:C,"&lt;12/31/2010",Records!C:C,"&gt;1/1/2010",Records!Z:Z,2)</f>
        <v>2</v>
      </c>
      <c r="T8">
        <f>COUNTIFS(Records!C:C,"&lt;12/31/2010",Records!C:C,"&gt;1/1/2010",Records!Z:Z,2.5)</f>
        <v>2</v>
      </c>
      <c r="U8">
        <f>COUNTIFS(Records!C:C,"&lt;12/31/2010",Records!C:C,"&gt;1/1/2010",Records!Z:Z,3)</f>
        <v>0</v>
      </c>
      <c r="V8" s="10">
        <f t="shared" si="3"/>
        <v>0.9</v>
      </c>
      <c r="AN8" t="s">
        <v>1219</v>
      </c>
      <c r="AO8">
        <f>COUNTIF(Records!Z:Z,2.5)</f>
        <v>3</v>
      </c>
      <c r="AP8">
        <f>COUNTIFS(Records!Z:Z,2.5, Records!W:W,"=0.5")</f>
        <v>1</v>
      </c>
      <c r="AQ8">
        <f>COUNTIFS(Records!Z:Z,2.5, Records!W:W,"=1")</f>
        <v>2</v>
      </c>
      <c r="AR8">
        <f>COUNTIFS(Records!Z:Z,2.5, Records!X:X,"=0.5")</f>
        <v>0</v>
      </c>
      <c r="AS8">
        <f>COUNTIFS(Records!Z:Z,2.5, Records!X:X,"=1")</f>
        <v>3</v>
      </c>
      <c r="AT8">
        <f>COUNTIFS(Records!Z:Z,2.5, Records!Y:Y,"=0.5")</f>
        <v>2</v>
      </c>
      <c r="AU8">
        <f>COUNTIFS(Records!Z:Z,2.5, Records!Y:Y,"=1")</f>
        <v>1</v>
      </c>
    </row>
    <row r="9" spans="1:47" ht="14.45" x14ac:dyDescent="0.3">
      <c r="B9" t="s">
        <v>65</v>
      </c>
      <c r="C9">
        <f>COUNTIF(Records!K:M, "Energy ")</f>
        <v>18</v>
      </c>
      <c r="D9" s="7">
        <f t="shared" si="2"/>
        <v>6.9767441860465115E-2</v>
      </c>
      <c r="M9" s="8">
        <v>2011</v>
      </c>
      <c r="N9">
        <f>COUNTIFS(Records!C:C,"&lt;12/31/2011",Records!C:C,"&gt;1/1/2011")</f>
        <v>21</v>
      </c>
      <c r="O9">
        <f>COUNTIFS(Records!C:C,"&lt;12/31/2011",Records!C:C,"&gt;1/1/2011",Records!Z:Z,0)</f>
        <v>4</v>
      </c>
      <c r="P9">
        <f>COUNTIFS(Records!C:C,"&lt;12/31/2011",Records!C:C,"&gt;1/1/2011",Records!Z:Z,0.5)</f>
        <v>7</v>
      </c>
      <c r="Q9">
        <f>COUNTIFS(Records!C:C,"&lt;12/31/2011",Records!C:C,"&gt;1/1/2011",Records!Z:Z,1)</f>
        <v>6</v>
      </c>
      <c r="R9">
        <f>COUNTIFS(Records!C:C,"&lt;12/31/2011",Records!C:C,"&gt;1/1/2011",Records!Z:Z,1.5)</f>
        <v>3</v>
      </c>
      <c r="S9">
        <f>COUNTIFS(Records!C:C,"&lt;12/31/2011",Records!C:C,"&gt;1/1/2011",Records!Z:Z,2)</f>
        <v>0</v>
      </c>
      <c r="T9">
        <f>COUNTIFS(Records!C:C,"&lt;12/31/2011",Records!C:C,"&gt;1/1/2011",Records!Z:Z,2.5)</f>
        <v>0</v>
      </c>
      <c r="U9">
        <f>COUNTIFS(Records!C:C,"&lt;12/31/2011",Records!C:C,"&gt;1/1/2011",Records!Z:Z,3)</f>
        <v>1</v>
      </c>
      <c r="V9" s="10">
        <f t="shared" si="3"/>
        <v>0.80952380952380953</v>
      </c>
      <c r="AN9" t="s">
        <v>1220</v>
      </c>
      <c r="AO9">
        <f>COUNTIF(Records!Z:Z,3)</f>
        <v>1</v>
      </c>
      <c r="AP9">
        <f>COUNTIFS(Records!Z:Z,3, Records!W:W,"0.5")</f>
        <v>0</v>
      </c>
      <c r="AQ9">
        <f>COUNTIFS(Records!Z:Z,3, Records!W:W,"1")</f>
        <v>1</v>
      </c>
      <c r="AR9">
        <f>COUNTIFS(Records!Z:Z,3, Records!X:X,"=0.5")</f>
        <v>0</v>
      </c>
      <c r="AS9">
        <f>COUNTIFS(Records!Z:Z,3, Records!X:X,"=1")</f>
        <v>1</v>
      </c>
      <c r="AT9">
        <f>COUNTIFS(Records!Z:Z,3, Records!Y:Y,"=0.5")</f>
        <v>0</v>
      </c>
      <c r="AU9">
        <f>COUNTIFS(Records!Z:Z,3, Records!Y:Y,"=1")</f>
        <v>1</v>
      </c>
    </row>
    <row r="10" spans="1:47" ht="14.45" x14ac:dyDescent="0.3">
      <c r="B10" t="s">
        <v>71</v>
      </c>
      <c r="C10">
        <f>COUNTIF(Records!K:M, "Affordability")</f>
        <v>10</v>
      </c>
      <c r="D10" s="7">
        <f t="shared" si="2"/>
        <v>3.875968992248062E-2</v>
      </c>
      <c r="M10" s="8">
        <v>2012</v>
      </c>
      <c r="N10">
        <f>COUNTIFS(Records!C:C,"&lt;12/31/2012",Records!C:C,"&gt;1/1/2012")</f>
        <v>35</v>
      </c>
      <c r="O10">
        <f>COUNTIFS(Records!C:C,"&lt;12/31/2012",Records!C:C,"&gt;1/1/2012",Records!Z:Z,0)</f>
        <v>13</v>
      </c>
      <c r="P10">
        <f>COUNTIFS(Records!C:C,"&lt;12/31/2012",Records!C:C,"&gt;1/1/2012",Records!Z:Z,0.5)</f>
        <v>19</v>
      </c>
      <c r="Q10">
        <f>COUNTIFS(Records!C:C,"&lt;12/31/2012",Records!C:C,"&gt;1/1/2012",Records!Z:Z,1)</f>
        <v>3</v>
      </c>
      <c r="R10">
        <f>COUNTIFS(Records!C:C,"&lt;12/31/2012",Records!C:C,"&gt;1/1/2012",Records!Z:Z,1.5)</f>
        <v>0</v>
      </c>
      <c r="S10">
        <f>COUNTIFS(Records!C:C,"&lt;12/31/2012",Records!C:C,"&gt;1/1/2012",Records!Z:Z,2)</f>
        <v>0</v>
      </c>
      <c r="T10">
        <f>COUNTIFS(Records!C:C,"&lt;12/31/2012",Records!C:C,"&gt;1/1/2012",Records!Z:Z,2.5)</f>
        <v>0</v>
      </c>
      <c r="U10">
        <f>COUNTIFS(Records!C:C,"&lt;12/31/2012",Records!C:C,"&gt;1/1/2012",Records!Z:Z,3)</f>
        <v>0</v>
      </c>
      <c r="V10" s="10">
        <f t="shared" si="3"/>
        <v>0.62857142857142856</v>
      </c>
      <c r="AN10" s="57" t="s">
        <v>1209</v>
      </c>
      <c r="AO10" s="57">
        <f>SUM(AO3:AO9)</f>
        <v>325</v>
      </c>
    </row>
    <row r="11" spans="1:47" ht="14.45" x14ac:dyDescent="0.3">
      <c r="B11" t="s">
        <v>61</v>
      </c>
      <c r="C11">
        <f>COUNTIF(Records!K:M, "Land Use")</f>
        <v>10</v>
      </c>
      <c r="D11" s="7">
        <f t="shared" si="2"/>
        <v>3.875968992248062E-2</v>
      </c>
    </row>
    <row r="12" spans="1:47" ht="14.45" x14ac:dyDescent="0.3">
      <c r="B12" t="s">
        <v>64</v>
      </c>
      <c r="C12">
        <f>COUNTIF(Records!K:M, "Non-renewable Resources")</f>
        <v>5</v>
      </c>
      <c r="D12" s="7">
        <f t="shared" si="2"/>
        <v>1.937984496124031E-2</v>
      </c>
    </row>
    <row r="13" spans="1:47" ht="14.45" x14ac:dyDescent="0.3">
      <c r="B13" t="s">
        <v>74</v>
      </c>
      <c r="C13">
        <f>COUNTIF(Records!K:M, "Employment")</f>
        <v>5</v>
      </c>
      <c r="D13" s="7">
        <f t="shared" si="2"/>
        <v>1.937984496124031E-2</v>
      </c>
    </row>
    <row r="14" spans="1:47" x14ac:dyDescent="0.25">
      <c r="B14" t="s">
        <v>60</v>
      </c>
      <c r="C14">
        <f>COUNTIF(Records!K:M, "Noise")</f>
        <v>4</v>
      </c>
      <c r="D14" s="7">
        <f t="shared" si="2"/>
        <v>1.5503875968992248E-2</v>
      </c>
    </row>
    <row r="15" spans="1:47" x14ac:dyDescent="0.25">
      <c r="B15" t="s">
        <v>581</v>
      </c>
      <c r="C15">
        <f>COUNTIF(Records!K:M, "Standards ")</f>
        <v>3</v>
      </c>
      <c r="D15" s="7">
        <f t="shared" si="2"/>
        <v>1.1627906976744186E-2</v>
      </c>
    </row>
    <row r="16" spans="1:47" x14ac:dyDescent="0.25">
      <c r="B16" t="s">
        <v>66</v>
      </c>
      <c r="C16">
        <f>COUNTIF(Records!K:M, "Recycling ")</f>
        <v>2</v>
      </c>
      <c r="D16" s="7">
        <f t="shared" si="2"/>
        <v>7.7519379844961239E-3</v>
      </c>
    </row>
    <row r="17" spans="2:4" x14ac:dyDescent="0.25">
      <c r="B17" t="s">
        <v>63</v>
      </c>
      <c r="C17">
        <f>COUNTIF(Records!K:M, "Renewable Resources")</f>
        <v>2</v>
      </c>
      <c r="D17" s="7">
        <f t="shared" si="2"/>
        <v>7.7519379844961239E-3</v>
      </c>
    </row>
    <row r="18" spans="2:4" x14ac:dyDescent="0.25">
      <c r="B18" t="s">
        <v>70</v>
      </c>
      <c r="C18">
        <f>COUNTIF(Records!K:M, "Intergenerational Equity")</f>
        <v>1</v>
      </c>
      <c r="D18" s="7">
        <f t="shared" si="2"/>
        <v>3.875968992248062E-3</v>
      </c>
    </row>
    <row r="19" spans="2:4" x14ac:dyDescent="0.25">
      <c r="D19" s="7"/>
    </row>
    <row r="26" spans="2:4" ht="14.45" customHeight="1" x14ac:dyDescent="0.25"/>
    <row r="27" spans="2:4" ht="14.45" customHeight="1" x14ac:dyDescent="0.25"/>
  </sheetData>
  <sortState ref="F2:K7">
    <sortCondition descending="1" ref="J2:J7"/>
  </sortState>
  <mergeCells count="6">
    <mergeCell ref="O2:U2"/>
    <mergeCell ref="AP1:AQ1"/>
    <mergeCell ref="AR1:AS1"/>
    <mergeCell ref="AT1:AU1"/>
    <mergeCell ref="AO1:AO2"/>
    <mergeCell ref="AN1:AN2"/>
  </mergeCells>
  <pageMargins left="0.7" right="0.7" top="0.75" bottom="0.75" header="0.3" footer="0.3"/>
  <pageSetup orientation="portrait" horizontalDpi="3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E326"/>
  <sheetViews>
    <sheetView zoomScale="60" zoomScaleNormal="60" workbookViewId="0">
      <selection activeCell="P47" sqref="P47"/>
    </sheetView>
  </sheetViews>
  <sheetFormatPr defaultRowHeight="15" x14ac:dyDescent="0.25"/>
  <cols>
    <col min="2" max="2" width="11.85546875" style="4" customWidth="1"/>
    <col min="3" max="3" width="8.85546875" style="4" customWidth="1"/>
    <col min="4" max="4" width="6.42578125" style="4" customWidth="1"/>
    <col min="5" max="5" width="6.85546875" style="4" customWidth="1"/>
  </cols>
  <sheetData>
    <row r="1" spans="1:5" x14ac:dyDescent="0.25">
      <c r="A1" t="s">
        <v>1204</v>
      </c>
      <c r="B1" s="12" t="s">
        <v>21</v>
      </c>
      <c r="C1" s="12" t="s">
        <v>187</v>
      </c>
      <c r="D1" s="12" t="s">
        <v>56</v>
      </c>
      <c r="E1" s="13" t="s">
        <v>188</v>
      </c>
    </row>
    <row r="2" spans="1:5" x14ac:dyDescent="0.25">
      <c r="A2">
        <v>1</v>
      </c>
      <c r="B2" s="39">
        <v>1</v>
      </c>
      <c r="C2" s="39">
        <v>1</v>
      </c>
      <c r="D2" s="39">
        <v>1</v>
      </c>
      <c r="E2" s="39">
        <f>SUM(B2:D2)</f>
        <v>3</v>
      </c>
    </row>
    <row r="3" spans="1:5" x14ac:dyDescent="0.25">
      <c r="A3">
        <v>2</v>
      </c>
      <c r="B3" s="39">
        <v>1</v>
      </c>
      <c r="C3" s="39">
        <v>1</v>
      </c>
      <c r="D3" s="39">
        <v>0.5</v>
      </c>
      <c r="E3" s="39">
        <f t="shared" ref="E3:E66" si="0">SUM(B3:D3)</f>
        <v>2.5</v>
      </c>
    </row>
    <row r="4" spans="1:5" x14ac:dyDescent="0.25">
      <c r="A4">
        <v>3</v>
      </c>
      <c r="B4" s="39">
        <v>1</v>
      </c>
      <c r="C4" s="39">
        <v>1</v>
      </c>
      <c r="D4" s="39">
        <v>0.5</v>
      </c>
      <c r="E4" s="39">
        <f t="shared" si="0"/>
        <v>2.5</v>
      </c>
    </row>
    <row r="5" spans="1:5" x14ac:dyDescent="0.25">
      <c r="A5">
        <v>4</v>
      </c>
      <c r="B5" s="39">
        <v>0.5</v>
      </c>
      <c r="C5" s="39">
        <v>1</v>
      </c>
      <c r="D5" s="39">
        <v>1</v>
      </c>
      <c r="E5" s="39">
        <f t="shared" si="0"/>
        <v>2.5</v>
      </c>
    </row>
    <row r="6" spans="1:5" x14ac:dyDescent="0.25">
      <c r="A6">
        <v>5</v>
      </c>
      <c r="B6" s="21">
        <v>1</v>
      </c>
      <c r="C6" s="21">
        <v>0.5</v>
      </c>
      <c r="D6" s="21">
        <v>0.5</v>
      </c>
      <c r="E6" s="39">
        <f t="shared" si="0"/>
        <v>2</v>
      </c>
    </row>
    <row r="7" spans="1:5" x14ac:dyDescent="0.25">
      <c r="A7">
        <v>6</v>
      </c>
      <c r="B7" s="21">
        <v>1</v>
      </c>
      <c r="C7" s="21">
        <v>0.5</v>
      </c>
      <c r="D7" s="21">
        <v>0.5</v>
      </c>
      <c r="E7" s="39">
        <f t="shared" si="0"/>
        <v>2</v>
      </c>
    </row>
    <row r="8" spans="1:5" x14ac:dyDescent="0.25">
      <c r="A8">
        <v>7</v>
      </c>
      <c r="B8" s="21">
        <v>1</v>
      </c>
      <c r="C8" s="21">
        <v>0.5</v>
      </c>
      <c r="D8" s="21">
        <v>0.5</v>
      </c>
      <c r="E8" s="39">
        <f t="shared" si="0"/>
        <v>2</v>
      </c>
    </row>
    <row r="9" spans="1:5" x14ac:dyDescent="0.25">
      <c r="A9">
        <v>8</v>
      </c>
      <c r="B9" s="21">
        <v>1</v>
      </c>
      <c r="C9" s="21">
        <v>0.5</v>
      </c>
      <c r="D9" s="21">
        <v>0.5</v>
      </c>
      <c r="E9" s="39">
        <f t="shared" si="0"/>
        <v>2</v>
      </c>
    </row>
    <row r="10" spans="1:5" x14ac:dyDescent="0.25">
      <c r="A10">
        <v>9</v>
      </c>
      <c r="B10" s="4">
        <v>1</v>
      </c>
      <c r="D10" s="4">
        <v>1</v>
      </c>
      <c r="E10" s="39">
        <f t="shared" si="0"/>
        <v>2</v>
      </c>
    </row>
    <row r="11" spans="1:5" x14ac:dyDescent="0.25">
      <c r="A11">
        <v>10</v>
      </c>
      <c r="B11" s="4">
        <v>1</v>
      </c>
      <c r="D11" s="4">
        <v>1</v>
      </c>
      <c r="E11" s="39">
        <f t="shared" si="0"/>
        <v>2</v>
      </c>
    </row>
    <row r="12" spans="1:5" x14ac:dyDescent="0.25">
      <c r="A12">
        <v>11</v>
      </c>
      <c r="B12" s="21">
        <v>0.5</v>
      </c>
      <c r="C12" s="21">
        <v>1</v>
      </c>
      <c r="D12" s="21">
        <v>0.5</v>
      </c>
      <c r="E12" s="39">
        <f t="shared" si="0"/>
        <v>2</v>
      </c>
    </row>
    <row r="13" spans="1:5" x14ac:dyDescent="0.25">
      <c r="A13">
        <v>12</v>
      </c>
      <c r="B13" s="21">
        <v>0.5</v>
      </c>
      <c r="C13" s="21">
        <v>1</v>
      </c>
      <c r="D13" s="21">
        <v>0.5</v>
      </c>
      <c r="E13" s="39">
        <f t="shared" si="0"/>
        <v>2</v>
      </c>
    </row>
    <row r="14" spans="1:5" x14ac:dyDescent="0.25">
      <c r="A14">
        <v>13</v>
      </c>
      <c r="B14" s="21">
        <v>0.5</v>
      </c>
      <c r="C14" s="21">
        <v>1</v>
      </c>
      <c r="D14" s="21">
        <v>0.5</v>
      </c>
      <c r="E14" s="39">
        <f t="shared" si="0"/>
        <v>2</v>
      </c>
    </row>
    <row r="15" spans="1:5" x14ac:dyDescent="0.25">
      <c r="A15">
        <v>14</v>
      </c>
      <c r="B15" s="21">
        <v>0.5</v>
      </c>
      <c r="C15" s="21">
        <v>1</v>
      </c>
      <c r="D15" s="21">
        <v>0.5</v>
      </c>
      <c r="E15" s="39">
        <f t="shared" si="0"/>
        <v>2</v>
      </c>
    </row>
    <row r="16" spans="1:5" x14ac:dyDescent="0.25">
      <c r="A16">
        <v>15</v>
      </c>
      <c r="B16" s="21">
        <v>0.5</v>
      </c>
      <c r="C16" s="21">
        <v>0.5</v>
      </c>
      <c r="D16" s="21">
        <v>1</v>
      </c>
      <c r="E16" s="39">
        <f t="shared" si="0"/>
        <v>2</v>
      </c>
    </row>
    <row r="17" spans="1:5" x14ac:dyDescent="0.25">
      <c r="A17">
        <v>16</v>
      </c>
      <c r="B17" s="21">
        <v>0.5</v>
      </c>
      <c r="C17" s="21">
        <v>0.5</v>
      </c>
      <c r="D17" s="21">
        <v>1</v>
      </c>
      <c r="E17" s="39">
        <f t="shared" si="0"/>
        <v>2</v>
      </c>
    </row>
    <row r="18" spans="1:5" x14ac:dyDescent="0.25">
      <c r="A18">
        <v>17</v>
      </c>
      <c r="B18" s="21">
        <v>0.5</v>
      </c>
      <c r="C18" s="21">
        <v>0.5</v>
      </c>
      <c r="D18" s="21">
        <v>1</v>
      </c>
      <c r="E18" s="39">
        <f t="shared" si="0"/>
        <v>2</v>
      </c>
    </row>
    <row r="19" spans="1:5" x14ac:dyDescent="0.25">
      <c r="A19">
        <v>18</v>
      </c>
      <c r="B19" s="21">
        <v>0.5</v>
      </c>
      <c r="C19" s="21">
        <v>0.5</v>
      </c>
      <c r="D19" s="21">
        <v>1</v>
      </c>
      <c r="E19" s="39">
        <f t="shared" si="0"/>
        <v>2</v>
      </c>
    </row>
    <row r="20" spans="1:5" x14ac:dyDescent="0.25">
      <c r="A20">
        <v>19</v>
      </c>
      <c r="C20" s="4">
        <v>1</v>
      </c>
      <c r="D20" s="4">
        <v>1</v>
      </c>
      <c r="E20" s="39">
        <f t="shared" si="0"/>
        <v>2</v>
      </c>
    </row>
    <row r="21" spans="1:5" x14ac:dyDescent="0.25">
      <c r="A21">
        <v>20</v>
      </c>
      <c r="B21" s="4">
        <v>1</v>
      </c>
      <c r="C21" s="4">
        <v>0.5</v>
      </c>
      <c r="E21" s="39">
        <f t="shared" si="0"/>
        <v>1.5</v>
      </c>
    </row>
    <row r="22" spans="1:5" x14ac:dyDescent="0.25">
      <c r="A22">
        <v>21</v>
      </c>
      <c r="B22" s="4">
        <v>1</v>
      </c>
      <c r="C22" s="4">
        <v>0.5</v>
      </c>
      <c r="E22" s="39">
        <f t="shared" si="0"/>
        <v>1.5</v>
      </c>
    </row>
    <row r="23" spans="1:5" x14ac:dyDescent="0.25">
      <c r="A23">
        <v>22</v>
      </c>
      <c r="B23" s="4">
        <v>1</v>
      </c>
      <c r="D23" s="4">
        <v>0.5</v>
      </c>
      <c r="E23" s="39">
        <f t="shared" si="0"/>
        <v>1.5</v>
      </c>
    </row>
    <row r="24" spans="1:5" x14ac:dyDescent="0.25">
      <c r="A24">
        <v>23</v>
      </c>
      <c r="B24" s="4">
        <v>1</v>
      </c>
      <c r="D24" s="4">
        <v>0.5</v>
      </c>
      <c r="E24" s="39">
        <f t="shared" si="0"/>
        <v>1.5</v>
      </c>
    </row>
    <row r="25" spans="1:5" x14ac:dyDescent="0.25">
      <c r="A25">
        <v>24</v>
      </c>
      <c r="B25" s="4">
        <v>0.5</v>
      </c>
      <c r="C25" s="4">
        <v>0.5</v>
      </c>
      <c r="D25" s="4">
        <v>0.5</v>
      </c>
      <c r="E25" s="39">
        <f t="shared" si="0"/>
        <v>1.5</v>
      </c>
    </row>
    <row r="26" spans="1:5" x14ac:dyDescent="0.25">
      <c r="A26">
        <v>25</v>
      </c>
      <c r="B26" s="4">
        <v>0.5</v>
      </c>
      <c r="C26" s="4">
        <v>0.5</v>
      </c>
      <c r="D26" s="4">
        <v>0.5</v>
      </c>
      <c r="E26" s="39">
        <f t="shared" si="0"/>
        <v>1.5</v>
      </c>
    </row>
    <row r="27" spans="1:5" x14ac:dyDescent="0.25">
      <c r="A27">
        <v>26</v>
      </c>
      <c r="B27" s="4">
        <v>0.5</v>
      </c>
      <c r="C27" s="4">
        <v>0.5</v>
      </c>
      <c r="D27" s="4">
        <v>0.5</v>
      </c>
      <c r="E27" s="39">
        <f t="shared" si="0"/>
        <v>1.5</v>
      </c>
    </row>
    <row r="28" spans="1:5" x14ac:dyDescent="0.25">
      <c r="A28">
        <v>27</v>
      </c>
      <c r="B28" s="4">
        <v>0.5</v>
      </c>
      <c r="C28" s="4">
        <v>0.5</v>
      </c>
      <c r="D28" s="4">
        <v>0.5</v>
      </c>
      <c r="E28" s="39">
        <f t="shared" si="0"/>
        <v>1.5</v>
      </c>
    </row>
    <row r="29" spans="1:5" x14ac:dyDescent="0.25">
      <c r="A29">
        <v>28</v>
      </c>
      <c r="B29" s="4">
        <v>0.5</v>
      </c>
      <c r="C29" s="4">
        <v>0.5</v>
      </c>
      <c r="D29" s="4">
        <v>0.5</v>
      </c>
      <c r="E29" s="39">
        <f t="shared" si="0"/>
        <v>1.5</v>
      </c>
    </row>
    <row r="30" spans="1:5" x14ac:dyDescent="0.25">
      <c r="A30">
        <v>29</v>
      </c>
      <c r="B30" s="4">
        <v>0.5</v>
      </c>
      <c r="C30" s="4">
        <v>0.5</v>
      </c>
      <c r="D30" s="4">
        <v>0.5</v>
      </c>
      <c r="E30" s="39">
        <f t="shared" si="0"/>
        <v>1.5</v>
      </c>
    </row>
    <row r="31" spans="1:5" x14ac:dyDescent="0.25">
      <c r="A31">
        <v>30</v>
      </c>
      <c r="B31" s="4">
        <v>0.5</v>
      </c>
      <c r="C31" s="4">
        <v>0.5</v>
      </c>
      <c r="D31" s="4">
        <v>0.5</v>
      </c>
      <c r="E31" s="39">
        <f t="shared" si="0"/>
        <v>1.5</v>
      </c>
    </row>
    <row r="32" spans="1:5" x14ac:dyDescent="0.25">
      <c r="A32">
        <v>31</v>
      </c>
      <c r="B32" s="4">
        <v>0.5</v>
      </c>
      <c r="C32" s="4">
        <v>0.5</v>
      </c>
      <c r="D32" s="4">
        <v>0.5</v>
      </c>
      <c r="E32" s="39">
        <f t="shared" si="0"/>
        <v>1.5</v>
      </c>
    </row>
    <row r="33" spans="1:5" x14ac:dyDescent="0.25">
      <c r="A33">
        <v>32</v>
      </c>
      <c r="B33" s="4">
        <v>0.5</v>
      </c>
      <c r="C33" s="4">
        <v>0.5</v>
      </c>
      <c r="D33" s="4">
        <v>0.5</v>
      </c>
      <c r="E33" s="39">
        <f t="shared" si="0"/>
        <v>1.5</v>
      </c>
    </row>
    <row r="34" spans="1:5" x14ac:dyDescent="0.25">
      <c r="A34">
        <v>33</v>
      </c>
      <c r="B34" s="4">
        <v>0.5</v>
      </c>
      <c r="C34" s="4">
        <v>0.5</v>
      </c>
      <c r="D34" s="4">
        <v>0.5</v>
      </c>
      <c r="E34" s="39">
        <f t="shared" si="0"/>
        <v>1.5</v>
      </c>
    </row>
    <row r="35" spans="1:5" x14ac:dyDescent="0.25">
      <c r="A35">
        <v>34</v>
      </c>
      <c r="B35" s="4">
        <v>0.5</v>
      </c>
      <c r="C35" s="4">
        <v>0.5</v>
      </c>
      <c r="D35" s="4">
        <v>0.5</v>
      </c>
      <c r="E35" s="39">
        <f t="shared" si="0"/>
        <v>1.5</v>
      </c>
    </row>
    <row r="36" spans="1:5" x14ac:dyDescent="0.25">
      <c r="A36">
        <v>35</v>
      </c>
      <c r="B36" s="4">
        <v>0.5</v>
      </c>
      <c r="C36" s="4">
        <v>0.5</v>
      </c>
      <c r="D36" s="4">
        <v>0.5</v>
      </c>
      <c r="E36" s="39">
        <f t="shared" si="0"/>
        <v>1.5</v>
      </c>
    </row>
    <row r="37" spans="1:5" x14ac:dyDescent="0.25">
      <c r="A37">
        <v>36</v>
      </c>
      <c r="B37" s="4">
        <v>0.5</v>
      </c>
      <c r="C37" s="4">
        <v>0.5</v>
      </c>
      <c r="D37" s="4">
        <v>0.5</v>
      </c>
      <c r="E37" s="39">
        <f t="shared" si="0"/>
        <v>1.5</v>
      </c>
    </row>
    <row r="38" spans="1:5" x14ac:dyDescent="0.25">
      <c r="A38">
        <v>37</v>
      </c>
      <c r="B38" s="4">
        <v>0.5</v>
      </c>
      <c r="C38" s="4">
        <v>0.5</v>
      </c>
      <c r="D38" s="4">
        <v>0.5</v>
      </c>
      <c r="E38" s="39">
        <f t="shared" si="0"/>
        <v>1.5</v>
      </c>
    </row>
    <row r="39" spans="1:5" x14ac:dyDescent="0.25">
      <c r="A39">
        <v>38</v>
      </c>
      <c r="B39" s="4">
        <v>0.5</v>
      </c>
      <c r="C39" s="4">
        <v>0.5</v>
      </c>
      <c r="D39" s="4">
        <v>0.5</v>
      </c>
      <c r="E39" s="39">
        <f t="shared" si="0"/>
        <v>1.5</v>
      </c>
    </row>
    <row r="40" spans="1:5" x14ac:dyDescent="0.25">
      <c r="A40">
        <v>39</v>
      </c>
      <c r="B40" s="4">
        <v>0.5</v>
      </c>
      <c r="C40" s="4">
        <v>0.5</v>
      </c>
      <c r="D40" s="4">
        <v>0.5</v>
      </c>
      <c r="E40" s="39">
        <f t="shared" si="0"/>
        <v>1.5</v>
      </c>
    </row>
    <row r="41" spans="1:5" x14ac:dyDescent="0.25">
      <c r="A41">
        <v>40</v>
      </c>
      <c r="B41" s="4">
        <v>0.5</v>
      </c>
      <c r="D41" s="4">
        <v>1</v>
      </c>
      <c r="E41" s="39">
        <f t="shared" si="0"/>
        <v>1.5</v>
      </c>
    </row>
    <row r="42" spans="1:5" x14ac:dyDescent="0.25">
      <c r="A42">
        <v>41</v>
      </c>
      <c r="C42" s="4">
        <v>1</v>
      </c>
      <c r="D42" s="4">
        <v>0.5</v>
      </c>
      <c r="E42" s="39">
        <f t="shared" si="0"/>
        <v>1.5</v>
      </c>
    </row>
    <row r="43" spans="1:5" x14ac:dyDescent="0.25">
      <c r="A43">
        <v>42</v>
      </c>
      <c r="C43" s="4">
        <v>1</v>
      </c>
      <c r="D43" s="4">
        <v>0.5</v>
      </c>
      <c r="E43" s="39">
        <f t="shared" si="0"/>
        <v>1.5</v>
      </c>
    </row>
    <row r="44" spans="1:5" x14ac:dyDescent="0.25">
      <c r="A44">
        <v>43</v>
      </c>
      <c r="C44" s="4">
        <v>0.5</v>
      </c>
      <c r="D44" s="4">
        <v>1</v>
      </c>
      <c r="E44" s="39">
        <f t="shared" si="0"/>
        <v>1.5</v>
      </c>
    </row>
    <row r="45" spans="1:5" x14ac:dyDescent="0.25">
      <c r="A45">
        <v>44</v>
      </c>
      <c r="C45" s="4">
        <v>0.5</v>
      </c>
      <c r="D45" s="4">
        <v>1</v>
      </c>
      <c r="E45" s="39">
        <f t="shared" si="0"/>
        <v>1.5</v>
      </c>
    </row>
    <row r="46" spans="1:5" x14ac:dyDescent="0.25">
      <c r="A46">
        <v>45</v>
      </c>
      <c r="C46" s="4">
        <v>0.5</v>
      </c>
      <c r="D46" s="4">
        <v>1</v>
      </c>
      <c r="E46" s="39">
        <f t="shared" si="0"/>
        <v>1.5</v>
      </c>
    </row>
    <row r="47" spans="1:5" x14ac:dyDescent="0.25">
      <c r="A47">
        <v>46</v>
      </c>
      <c r="C47" s="4">
        <v>0.5</v>
      </c>
      <c r="D47" s="4">
        <v>1</v>
      </c>
      <c r="E47" s="39">
        <f t="shared" si="0"/>
        <v>1.5</v>
      </c>
    </row>
    <row r="48" spans="1:5" x14ac:dyDescent="0.25">
      <c r="A48">
        <v>47</v>
      </c>
      <c r="C48" s="4">
        <v>0.5</v>
      </c>
      <c r="D48" s="4">
        <v>1</v>
      </c>
      <c r="E48" s="39">
        <f t="shared" si="0"/>
        <v>1.5</v>
      </c>
    </row>
    <row r="49" spans="1:5" x14ac:dyDescent="0.25">
      <c r="A49">
        <v>48</v>
      </c>
      <c r="B49" s="4">
        <v>1</v>
      </c>
      <c r="E49" s="39">
        <f t="shared" si="0"/>
        <v>1</v>
      </c>
    </row>
    <row r="50" spans="1:5" x14ac:dyDescent="0.25">
      <c r="A50">
        <v>49</v>
      </c>
      <c r="B50" s="4">
        <v>1</v>
      </c>
      <c r="E50" s="39">
        <f t="shared" si="0"/>
        <v>1</v>
      </c>
    </row>
    <row r="51" spans="1:5" x14ac:dyDescent="0.25">
      <c r="A51">
        <v>50</v>
      </c>
      <c r="B51" s="4">
        <v>1</v>
      </c>
      <c r="E51" s="39">
        <f t="shared" si="0"/>
        <v>1</v>
      </c>
    </row>
    <row r="52" spans="1:5" x14ac:dyDescent="0.25">
      <c r="A52">
        <v>51</v>
      </c>
      <c r="B52" s="4">
        <v>1</v>
      </c>
      <c r="E52" s="39">
        <f t="shared" si="0"/>
        <v>1</v>
      </c>
    </row>
    <row r="53" spans="1:5" x14ac:dyDescent="0.25">
      <c r="A53">
        <v>52</v>
      </c>
      <c r="B53" s="4">
        <v>1</v>
      </c>
      <c r="E53" s="39">
        <f t="shared" si="0"/>
        <v>1</v>
      </c>
    </row>
    <row r="54" spans="1:5" x14ac:dyDescent="0.25">
      <c r="A54">
        <v>53</v>
      </c>
      <c r="B54" s="4">
        <v>1</v>
      </c>
      <c r="E54" s="39">
        <f t="shared" si="0"/>
        <v>1</v>
      </c>
    </row>
    <row r="55" spans="1:5" x14ac:dyDescent="0.25">
      <c r="A55">
        <v>54</v>
      </c>
      <c r="B55" s="4">
        <v>1</v>
      </c>
      <c r="E55" s="39">
        <f t="shared" si="0"/>
        <v>1</v>
      </c>
    </row>
    <row r="56" spans="1:5" x14ac:dyDescent="0.25">
      <c r="A56">
        <v>55</v>
      </c>
      <c r="B56" s="4">
        <v>1</v>
      </c>
      <c r="E56" s="39">
        <f t="shared" si="0"/>
        <v>1</v>
      </c>
    </row>
    <row r="57" spans="1:5" x14ac:dyDescent="0.25">
      <c r="A57">
        <v>56</v>
      </c>
      <c r="B57" s="4">
        <v>1</v>
      </c>
      <c r="E57" s="39">
        <f t="shared" si="0"/>
        <v>1</v>
      </c>
    </row>
    <row r="58" spans="1:5" x14ac:dyDescent="0.25">
      <c r="A58">
        <v>57</v>
      </c>
      <c r="B58" s="4">
        <v>1</v>
      </c>
      <c r="E58" s="39">
        <f t="shared" si="0"/>
        <v>1</v>
      </c>
    </row>
    <row r="59" spans="1:5" x14ac:dyDescent="0.25">
      <c r="A59">
        <v>58</v>
      </c>
      <c r="B59" s="4">
        <v>1</v>
      </c>
      <c r="E59" s="39">
        <f t="shared" si="0"/>
        <v>1</v>
      </c>
    </row>
    <row r="60" spans="1:5" x14ac:dyDescent="0.25">
      <c r="A60">
        <v>59</v>
      </c>
      <c r="B60" s="4">
        <v>1</v>
      </c>
      <c r="E60" s="39">
        <f t="shared" si="0"/>
        <v>1</v>
      </c>
    </row>
    <row r="61" spans="1:5" x14ac:dyDescent="0.25">
      <c r="A61">
        <v>60</v>
      </c>
      <c r="B61" s="4">
        <v>1</v>
      </c>
      <c r="E61" s="39">
        <f t="shared" si="0"/>
        <v>1</v>
      </c>
    </row>
    <row r="62" spans="1:5" x14ac:dyDescent="0.25">
      <c r="A62">
        <v>61</v>
      </c>
      <c r="B62" s="4">
        <v>1</v>
      </c>
      <c r="E62" s="39">
        <f t="shared" si="0"/>
        <v>1</v>
      </c>
    </row>
    <row r="63" spans="1:5" x14ac:dyDescent="0.25">
      <c r="A63">
        <v>62</v>
      </c>
      <c r="B63" s="4">
        <v>0.5</v>
      </c>
      <c r="C63" s="4">
        <v>0.5</v>
      </c>
      <c r="E63" s="39">
        <f t="shared" si="0"/>
        <v>1</v>
      </c>
    </row>
    <row r="64" spans="1:5" x14ac:dyDescent="0.25">
      <c r="A64">
        <v>63</v>
      </c>
      <c r="B64" s="4">
        <v>0.5</v>
      </c>
      <c r="C64" s="4">
        <v>0.5</v>
      </c>
      <c r="E64" s="39">
        <f t="shared" si="0"/>
        <v>1</v>
      </c>
    </row>
    <row r="65" spans="1:5" x14ac:dyDescent="0.25">
      <c r="A65">
        <v>64</v>
      </c>
      <c r="B65" s="4">
        <v>0.5</v>
      </c>
      <c r="C65" s="4">
        <v>0.5</v>
      </c>
      <c r="E65" s="39">
        <f t="shared" si="0"/>
        <v>1</v>
      </c>
    </row>
    <row r="66" spans="1:5" x14ac:dyDescent="0.25">
      <c r="A66">
        <v>65</v>
      </c>
      <c r="B66" s="4">
        <v>0.5</v>
      </c>
      <c r="C66" s="4">
        <v>0.5</v>
      </c>
      <c r="E66" s="39">
        <f t="shared" si="0"/>
        <v>1</v>
      </c>
    </row>
    <row r="67" spans="1:5" x14ac:dyDescent="0.25">
      <c r="A67">
        <v>66</v>
      </c>
      <c r="B67" s="4">
        <v>0.5</v>
      </c>
      <c r="C67" s="4">
        <v>0.5</v>
      </c>
      <c r="E67" s="39">
        <f t="shared" ref="E67:E130" si="1">SUM(B67:D67)</f>
        <v>1</v>
      </c>
    </row>
    <row r="68" spans="1:5" x14ac:dyDescent="0.25">
      <c r="A68">
        <v>67</v>
      </c>
      <c r="B68" s="4">
        <v>0.5</v>
      </c>
      <c r="C68" s="4">
        <v>0.5</v>
      </c>
      <c r="E68" s="39">
        <f t="shared" si="1"/>
        <v>1</v>
      </c>
    </row>
    <row r="69" spans="1:5" x14ac:dyDescent="0.25">
      <c r="A69">
        <v>68</v>
      </c>
      <c r="B69" s="4">
        <v>0.5</v>
      </c>
      <c r="C69" s="4">
        <v>0.5</v>
      </c>
      <c r="E69" s="39">
        <f t="shared" si="1"/>
        <v>1</v>
      </c>
    </row>
    <row r="70" spans="1:5" x14ac:dyDescent="0.25">
      <c r="A70">
        <v>69</v>
      </c>
      <c r="B70" s="4">
        <v>0.5</v>
      </c>
      <c r="C70" s="4">
        <v>0.5</v>
      </c>
      <c r="E70" s="39">
        <f t="shared" si="1"/>
        <v>1</v>
      </c>
    </row>
    <row r="71" spans="1:5" x14ac:dyDescent="0.25">
      <c r="A71">
        <v>70</v>
      </c>
      <c r="B71" s="4">
        <v>0.5</v>
      </c>
      <c r="C71" s="4">
        <v>0.5</v>
      </c>
      <c r="E71" s="39">
        <f t="shared" si="1"/>
        <v>1</v>
      </c>
    </row>
    <row r="72" spans="1:5" x14ac:dyDescent="0.25">
      <c r="A72">
        <v>71</v>
      </c>
      <c r="B72" s="4">
        <v>0.5</v>
      </c>
      <c r="C72" s="4">
        <v>0.5</v>
      </c>
      <c r="E72" s="39">
        <f t="shared" si="1"/>
        <v>1</v>
      </c>
    </row>
    <row r="73" spans="1:5" x14ac:dyDescent="0.25">
      <c r="A73">
        <v>72</v>
      </c>
      <c r="B73" s="4">
        <v>0.5</v>
      </c>
      <c r="C73" s="4">
        <v>0.5</v>
      </c>
      <c r="E73" s="39">
        <f t="shared" si="1"/>
        <v>1</v>
      </c>
    </row>
    <row r="74" spans="1:5" x14ac:dyDescent="0.25">
      <c r="A74">
        <v>73</v>
      </c>
      <c r="B74" s="4">
        <v>0.5</v>
      </c>
      <c r="C74" s="4">
        <v>0.5</v>
      </c>
      <c r="E74" s="39">
        <f t="shared" si="1"/>
        <v>1</v>
      </c>
    </row>
    <row r="75" spans="1:5" x14ac:dyDescent="0.25">
      <c r="A75">
        <v>74</v>
      </c>
      <c r="B75" s="4">
        <v>0.5</v>
      </c>
      <c r="C75" s="4">
        <v>0.5</v>
      </c>
      <c r="E75" s="39">
        <f t="shared" si="1"/>
        <v>1</v>
      </c>
    </row>
    <row r="76" spans="1:5" x14ac:dyDescent="0.25">
      <c r="A76">
        <v>75</v>
      </c>
      <c r="B76" s="4">
        <v>0.5</v>
      </c>
      <c r="C76" s="4">
        <v>0.5</v>
      </c>
      <c r="E76" s="39">
        <f t="shared" si="1"/>
        <v>1</v>
      </c>
    </row>
    <row r="77" spans="1:5" x14ac:dyDescent="0.25">
      <c r="A77">
        <v>76</v>
      </c>
      <c r="B77" s="4">
        <v>0.5</v>
      </c>
      <c r="D77" s="4">
        <v>0.5</v>
      </c>
      <c r="E77" s="39">
        <f t="shared" si="1"/>
        <v>1</v>
      </c>
    </row>
    <row r="78" spans="1:5" x14ac:dyDescent="0.25">
      <c r="A78">
        <v>77</v>
      </c>
      <c r="B78" s="4">
        <v>0.5</v>
      </c>
      <c r="D78" s="4">
        <v>0.5</v>
      </c>
      <c r="E78" s="39">
        <f t="shared" si="1"/>
        <v>1</v>
      </c>
    </row>
    <row r="79" spans="1:5" x14ac:dyDescent="0.25">
      <c r="A79">
        <v>78</v>
      </c>
      <c r="B79" s="4">
        <v>0.5</v>
      </c>
      <c r="D79" s="4">
        <v>0.5</v>
      </c>
      <c r="E79" s="39">
        <f t="shared" si="1"/>
        <v>1</v>
      </c>
    </row>
    <row r="80" spans="1:5" x14ac:dyDescent="0.25">
      <c r="A80">
        <v>79</v>
      </c>
      <c r="B80" s="4">
        <v>0.5</v>
      </c>
      <c r="D80" s="4">
        <v>0.5</v>
      </c>
      <c r="E80" s="39">
        <f t="shared" si="1"/>
        <v>1</v>
      </c>
    </row>
    <row r="81" spans="1:5" x14ac:dyDescent="0.25">
      <c r="A81">
        <v>80</v>
      </c>
      <c r="B81" s="4">
        <v>0.5</v>
      </c>
      <c r="D81" s="4">
        <v>0.5</v>
      </c>
      <c r="E81" s="39">
        <f t="shared" si="1"/>
        <v>1</v>
      </c>
    </row>
    <row r="82" spans="1:5" x14ac:dyDescent="0.25">
      <c r="A82">
        <v>81</v>
      </c>
      <c r="B82" s="4">
        <v>0.5</v>
      </c>
      <c r="D82" s="4">
        <v>0.5</v>
      </c>
      <c r="E82" s="39">
        <f t="shared" si="1"/>
        <v>1</v>
      </c>
    </row>
    <row r="83" spans="1:5" x14ac:dyDescent="0.25">
      <c r="A83">
        <v>82</v>
      </c>
      <c r="B83" s="4">
        <v>0.5</v>
      </c>
      <c r="D83" s="4">
        <v>0.5</v>
      </c>
      <c r="E83" s="39">
        <f t="shared" si="1"/>
        <v>1</v>
      </c>
    </row>
    <row r="84" spans="1:5" x14ac:dyDescent="0.25">
      <c r="A84">
        <v>83</v>
      </c>
      <c r="B84" s="4">
        <v>0.5</v>
      </c>
      <c r="D84" s="4">
        <v>0.5</v>
      </c>
      <c r="E84" s="39">
        <f t="shared" si="1"/>
        <v>1</v>
      </c>
    </row>
    <row r="85" spans="1:5" x14ac:dyDescent="0.25">
      <c r="A85">
        <v>84</v>
      </c>
      <c r="B85" s="4">
        <v>0.5</v>
      </c>
      <c r="D85" s="4">
        <v>0.5</v>
      </c>
      <c r="E85" s="39">
        <f t="shared" si="1"/>
        <v>1</v>
      </c>
    </row>
    <row r="86" spans="1:5" x14ac:dyDescent="0.25">
      <c r="A86">
        <v>85</v>
      </c>
      <c r="B86" s="4">
        <v>0.5</v>
      </c>
      <c r="D86" s="4">
        <v>0.5</v>
      </c>
      <c r="E86" s="39">
        <f t="shared" si="1"/>
        <v>1</v>
      </c>
    </row>
    <row r="87" spans="1:5" x14ac:dyDescent="0.25">
      <c r="A87">
        <v>86</v>
      </c>
      <c r="B87" s="4">
        <v>0.5</v>
      </c>
      <c r="D87" s="4">
        <v>0.5</v>
      </c>
      <c r="E87" s="39">
        <f t="shared" si="1"/>
        <v>1</v>
      </c>
    </row>
    <row r="88" spans="1:5" x14ac:dyDescent="0.25">
      <c r="A88">
        <v>87</v>
      </c>
      <c r="B88" s="4">
        <v>0.5</v>
      </c>
      <c r="D88" s="4">
        <v>0.5</v>
      </c>
      <c r="E88" s="39">
        <f t="shared" si="1"/>
        <v>1</v>
      </c>
    </row>
    <row r="89" spans="1:5" x14ac:dyDescent="0.25">
      <c r="A89">
        <v>88</v>
      </c>
      <c r="B89" s="4">
        <v>0.5</v>
      </c>
      <c r="D89" s="4">
        <v>0.5</v>
      </c>
      <c r="E89" s="39">
        <f t="shared" si="1"/>
        <v>1</v>
      </c>
    </row>
    <row r="90" spans="1:5" x14ac:dyDescent="0.25">
      <c r="A90">
        <v>89</v>
      </c>
      <c r="C90" s="4">
        <v>1</v>
      </c>
      <c r="E90" s="39">
        <f t="shared" si="1"/>
        <v>1</v>
      </c>
    </row>
    <row r="91" spans="1:5" x14ac:dyDescent="0.25">
      <c r="A91">
        <v>90</v>
      </c>
      <c r="C91" s="4">
        <v>0.5</v>
      </c>
      <c r="D91" s="4">
        <v>0.5</v>
      </c>
      <c r="E91" s="39">
        <f t="shared" si="1"/>
        <v>1</v>
      </c>
    </row>
    <row r="92" spans="1:5" x14ac:dyDescent="0.25">
      <c r="A92">
        <v>91</v>
      </c>
      <c r="C92" s="4">
        <v>0.5</v>
      </c>
      <c r="D92" s="4">
        <v>0.5</v>
      </c>
      <c r="E92" s="39">
        <f t="shared" si="1"/>
        <v>1</v>
      </c>
    </row>
    <row r="93" spans="1:5" x14ac:dyDescent="0.25">
      <c r="A93">
        <v>92</v>
      </c>
      <c r="C93" s="4">
        <v>0.5</v>
      </c>
      <c r="D93" s="4">
        <v>0.5</v>
      </c>
      <c r="E93" s="39">
        <f t="shared" si="1"/>
        <v>1</v>
      </c>
    </row>
    <row r="94" spans="1:5" x14ac:dyDescent="0.25">
      <c r="A94">
        <v>93</v>
      </c>
      <c r="C94" s="4">
        <v>0.5</v>
      </c>
      <c r="D94" s="4">
        <v>0.5</v>
      </c>
      <c r="E94" s="39">
        <f t="shared" si="1"/>
        <v>1</v>
      </c>
    </row>
    <row r="95" spans="1:5" x14ac:dyDescent="0.25">
      <c r="A95">
        <v>94</v>
      </c>
      <c r="C95" s="4">
        <v>0.5</v>
      </c>
      <c r="D95" s="4">
        <v>0.5</v>
      </c>
      <c r="E95" s="39">
        <f t="shared" si="1"/>
        <v>1</v>
      </c>
    </row>
    <row r="96" spans="1:5" x14ac:dyDescent="0.25">
      <c r="A96">
        <v>95</v>
      </c>
      <c r="C96" s="4">
        <v>0.5</v>
      </c>
      <c r="D96" s="4">
        <v>0.5</v>
      </c>
      <c r="E96" s="39">
        <f t="shared" si="1"/>
        <v>1</v>
      </c>
    </row>
    <row r="97" spans="1:5" x14ac:dyDescent="0.25">
      <c r="A97">
        <v>96</v>
      </c>
      <c r="C97" s="4">
        <v>0.5</v>
      </c>
      <c r="D97" s="4">
        <v>0.5</v>
      </c>
      <c r="E97" s="39">
        <f t="shared" si="1"/>
        <v>1</v>
      </c>
    </row>
    <row r="98" spans="1:5" x14ac:dyDescent="0.25">
      <c r="A98">
        <v>97</v>
      </c>
      <c r="C98" s="4">
        <v>0.5</v>
      </c>
      <c r="D98" s="4">
        <v>0.5</v>
      </c>
      <c r="E98" s="39">
        <f t="shared" si="1"/>
        <v>1</v>
      </c>
    </row>
    <row r="99" spans="1:5" x14ac:dyDescent="0.25">
      <c r="A99">
        <v>98</v>
      </c>
      <c r="C99" s="4">
        <v>0.5</v>
      </c>
      <c r="D99" s="4">
        <v>0.5</v>
      </c>
      <c r="E99" s="39">
        <f t="shared" si="1"/>
        <v>1</v>
      </c>
    </row>
    <row r="100" spans="1:5" x14ac:dyDescent="0.25">
      <c r="A100">
        <v>99</v>
      </c>
      <c r="C100" s="4">
        <v>0.5</v>
      </c>
      <c r="D100" s="4">
        <v>0.5</v>
      </c>
      <c r="E100" s="39">
        <f t="shared" si="1"/>
        <v>1</v>
      </c>
    </row>
    <row r="101" spans="1:5" x14ac:dyDescent="0.25">
      <c r="A101">
        <v>100</v>
      </c>
      <c r="C101" s="4">
        <v>0.5</v>
      </c>
      <c r="D101" s="4">
        <v>0.5</v>
      </c>
      <c r="E101" s="39">
        <f t="shared" si="1"/>
        <v>1</v>
      </c>
    </row>
    <row r="102" spans="1:5" x14ac:dyDescent="0.25">
      <c r="A102">
        <v>101</v>
      </c>
      <c r="C102" s="4">
        <v>0.5</v>
      </c>
      <c r="D102" s="4">
        <v>0.5</v>
      </c>
      <c r="E102" s="39">
        <f t="shared" si="1"/>
        <v>1</v>
      </c>
    </row>
    <row r="103" spans="1:5" x14ac:dyDescent="0.25">
      <c r="A103">
        <v>102</v>
      </c>
      <c r="C103" s="4">
        <v>0.5</v>
      </c>
      <c r="D103" s="4">
        <v>0.5</v>
      </c>
      <c r="E103" s="39">
        <f t="shared" si="1"/>
        <v>1</v>
      </c>
    </row>
    <row r="104" spans="1:5" x14ac:dyDescent="0.25">
      <c r="A104">
        <v>103</v>
      </c>
      <c r="C104" s="4">
        <v>0.5</v>
      </c>
      <c r="D104" s="4">
        <v>0.5</v>
      </c>
      <c r="E104" s="39">
        <f t="shared" si="1"/>
        <v>1</v>
      </c>
    </row>
    <row r="105" spans="1:5" x14ac:dyDescent="0.25">
      <c r="A105">
        <v>104</v>
      </c>
      <c r="C105" s="4">
        <v>0.5</v>
      </c>
      <c r="D105" s="4">
        <v>0.5</v>
      </c>
      <c r="E105" s="39">
        <f t="shared" si="1"/>
        <v>1</v>
      </c>
    </row>
    <row r="106" spans="1:5" x14ac:dyDescent="0.25">
      <c r="A106">
        <v>105</v>
      </c>
      <c r="C106" s="4">
        <v>0.5</v>
      </c>
      <c r="D106" s="4">
        <v>0.5</v>
      </c>
      <c r="E106" s="39">
        <f t="shared" si="1"/>
        <v>1</v>
      </c>
    </row>
    <row r="107" spans="1:5" x14ac:dyDescent="0.25">
      <c r="A107">
        <v>106</v>
      </c>
      <c r="C107" s="4">
        <v>0.5</v>
      </c>
      <c r="D107" s="4">
        <v>0.5</v>
      </c>
      <c r="E107" s="39">
        <f t="shared" si="1"/>
        <v>1</v>
      </c>
    </row>
    <row r="108" spans="1:5" x14ac:dyDescent="0.25">
      <c r="A108">
        <v>107</v>
      </c>
      <c r="C108" s="4">
        <v>0.5</v>
      </c>
      <c r="D108" s="4">
        <v>0.5</v>
      </c>
      <c r="E108" s="39">
        <f t="shared" si="1"/>
        <v>1</v>
      </c>
    </row>
    <row r="109" spans="1:5" x14ac:dyDescent="0.25">
      <c r="A109">
        <v>108</v>
      </c>
      <c r="C109" s="4">
        <v>0.5</v>
      </c>
      <c r="D109" s="4">
        <v>0.5</v>
      </c>
      <c r="E109" s="39">
        <f t="shared" si="1"/>
        <v>1</v>
      </c>
    </row>
    <row r="110" spans="1:5" x14ac:dyDescent="0.25">
      <c r="A110">
        <v>109</v>
      </c>
      <c r="C110" s="4">
        <v>0.5</v>
      </c>
      <c r="D110" s="4">
        <v>0.5</v>
      </c>
      <c r="E110" s="39">
        <f t="shared" si="1"/>
        <v>1</v>
      </c>
    </row>
    <row r="111" spans="1:5" x14ac:dyDescent="0.25">
      <c r="A111">
        <v>110</v>
      </c>
      <c r="C111" s="4">
        <v>0.5</v>
      </c>
      <c r="D111" s="4">
        <v>0.5</v>
      </c>
      <c r="E111" s="39">
        <f t="shared" si="1"/>
        <v>1</v>
      </c>
    </row>
    <row r="112" spans="1:5" x14ac:dyDescent="0.25">
      <c r="A112">
        <v>111</v>
      </c>
      <c r="C112" s="4">
        <v>0.5</v>
      </c>
      <c r="D112" s="4">
        <v>0.5</v>
      </c>
      <c r="E112" s="39">
        <f t="shared" si="1"/>
        <v>1</v>
      </c>
    </row>
    <row r="113" spans="1:5" x14ac:dyDescent="0.25">
      <c r="A113">
        <v>112</v>
      </c>
      <c r="C113" s="4">
        <v>0.5</v>
      </c>
      <c r="D113" s="4">
        <v>0.5</v>
      </c>
      <c r="E113" s="39">
        <f t="shared" si="1"/>
        <v>1</v>
      </c>
    </row>
    <row r="114" spans="1:5" x14ac:dyDescent="0.25">
      <c r="A114">
        <v>113</v>
      </c>
      <c r="C114" s="4">
        <v>0.5</v>
      </c>
      <c r="D114" s="4">
        <v>0.5</v>
      </c>
      <c r="E114" s="39">
        <f t="shared" si="1"/>
        <v>1</v>
      </c>
    </row>
    <row r="115" spans="1:5" x14ac:dyDescent="0.25">
      <c r="A115">
        <v>114</v>
      </c>
      <c r="C115" s="4">
        <v>0.5</v>
      </c>
      <c r="D115" s="4">
        <v>0.5</v>
      </c>
      <c r="E115" s="39">
        <f t="shared" si="1"/>
        <v>1</v>
      </c>
    </row>
    <row r="116" spans="1:5" x14ac:dyDescent="0.25">
      <c r="A116">
        <v>115</v>
      </c>
      <c r="C116" s="4">
        <v>0.5</v>
      </c>
      <c r="D116" s="4">
        <v>0.5</v>
      </c>
      <c r="E116" s="39">
        <f t="shared" si="1"/>
        <v>1</v>
      </c>
    </row>
    <row r="117" spans="1:5" x14ac:dyDescent="0.25">
      <c r="A117">
        <v>116</v>
      </c>
      <c r="C117" s="4">
        <v>0.5</v>
      </c>
      <c r="D117" s="4">
        <v>0.5</v>
      </c>
      <c r="E117" s="39">
        <f t="shared" si="1"/>
        <v>1</v>
      </c>
    </row>
    <row r="118" spans="1:5" x14ac:dyDescent="0.25">
      <c r="A118">
        <v>117</v>
      </c>
      <c r="C118" s="4">
        <v>0.5</v>
      </c>
      <c r="D118" s="4">
        <v>0.5</v>
      </c>
      <c r="E118" s="39">
        <f t="shared" si="1"/>
        <v>1</v>
      </c>
    </row>
    <row r="119" spans="1:5" x14ac:dyDescent="0.25">
      <c r="A119">
        <v>118</v>
      </c>
      <c r="C119" s="4">
        <v>0.5</v>
      </c>
      <c r="D119" s="4">
        <v>0.5</v>
      </c>
      <c r="E119" s="39">
        <f t="shared" si="1"/>
        <v>1</v>
      </c>
    </row>
    <row r="120" spans="1:5" x14ac:dyDescent="0.25">
      <c r="A120">
        <v>119</v>
      </c>
      <c r="C120" s="4">
        <v>0.5</v>
      </c>
      <c r="D120" s="4">
        <v>0.5</v>
      </c>
      <c r="E120" s="39">
        <f t="shared" si="1"/>
        <v>1</v>
      </c>
    </row>
    <row r="121" spans="1:5" x14ac:dyDescent="0.25">
      <c r="A121">
        <v>120</v>
      </c>
      <c r="C121" s="4">
        <v>0.5</v>
      </c>
      <c r="D121" s="4">
        <v>0.5</v>
      </c>
      <c r="E121" s="39">
        <f t="shared" si="1"/>
        <v>1</v>
      </c>
    </row>
    <row r="122" spans="1:5" x14ac:dyDescent="0.25">
      <c r="A122">
        <v>121</v>
      </c>
      <c r="C122" s="4">
        <v>0.5</v>
      </c>
      <c r="D122" s="4">
        <v>0.5</v>
      </c>
      <c r="E122" s="39">
        <f t="shared" si="1"/>
        <v>1</v>
      </c>
    </row>
    <row r="123" spans="1:5" x14ac:dyDescent="0.25">
      <c r="A123">
        <v>122</v>
      </c>
      <c r="C123" s="4">
        <v>0.5</v>
      </c>
      <c r="D123" s="4">
        <v>0.5</v>
      </c>
      <c r="E123" s="39">
        <f t="shared" si="1"/>
        <v>1</v>
      </c>
    </row>
    <row r="124" spans="1:5" x14ac:dyDescent="0.25">
      <c r="A124">
        <v>123</v>
      </c>
      <c r="C124" s="4">
        <v>0.5</v>
      </c>
      <c r="D124" s="4">
        <v>0.5</v>
      </c>
      <c r="E124" s="39">
        <f t="shared" si="1"/>
        <v>1</v>
      </c>
    </row>
    <row r="125" spans="1:5" x14ac:dyDescent="0.25">
      <c r="A125">
        <v>124</v>
      </c>
      <c r="C125" s="4">
        <v>0.5</v>
      </c>
      <c r="D125" s="4">
        <v>0.5</v>
      </c>
      <c r="E125" s="39">
        <f t="shared" si="1"/>
        <v>1</v>
      </c>
    </row>
    <row r="126" spans="1:5" x14ac:dyDescent="0.25">
      <c r="A126">
        <v>125</v>
      </c>
      <c r="C126" s="4">
        <v>0.5</v>
      </c>
      <c r="D126" s="4">
        <v>0.5</v>
      </c>
      <c r="E126" s="39">
        <f t="shared" si="1"/>
        <v>1</v>
      </c>
    </row>
    <row r="127" spans="1:5" x14ac:dyDescent="0.25">
      <c r="A127">
        <v>126</v>
      </c>
      <c r="C127" s="4">
        <v>0.5</v>
      </c>
      <c r="D127" s="4">
        <v>0.5</v>
      </c>
      <c r="E127" s="39">
        <f t="shared" si="1"/>
        <v>1</v>
      </c>
    </row>
    <row r="128" spans="1:5" x14ac:dyDescent="0.25">
      <c r="A128">
        <v>127</v>
      </c>
      <c r="C128" s="4">
        <v>0.5</v>
      </c>
      <c r="D128" s="4">
        <v>0.5</v>
      </c>
      <c r="E128" s="39">
        <f t="shared" si="1"/>
        <v>1</v>
      </c>
    </row>
    <row r="129" spans="1:5" x14ac:dyDescent="0.25">
      <c r="A129">
        <v>128</v>
      </c>
      <c r="C129" s="4">
        <v>0.5</v>
      </c>
      <c r="D129" s="4">
        <v>0.5</v>
      </c>
      <c r="E129" s="39">
        <f t="shared" si="1"/>
        <v>1</v>
      </c>
    </row>
    <row r="130" spans="1:5" x14ac:dyDescent="0.25">
      <c r="A130">
        <v>129</v>
      </c>
      <c r="C130" s="4">
        <v>0.5</v>
      </c>
      <c r="D130" s="4">
        <v>0.5</v>
      </c>
      <c r="E130" s="39">
        <f t="shared" si="1"/>
        <v>1</v>
      </c>
    </row>
    <row r="131" spans="1:5" x14ac:dyDescent="0.25">
      <c r="A131">
        <v>130</v>
      </c>
      <c r="D131" s="4">
        <v>1</v>
      </c>
      <c r="E131" s="39">
        <f t="shared" ref="E131:E194" si="2">SUM(B131:D131)</f>
        <v>1</v>
      </c>
    </row>
    <row r="132" spans="1:5" x14ac:dyDescent="0.25">
      <c r="A132">
        <v>131</v>
      </c>
      <c r="D132" s="4">
        <v>1</v>
      </c>
      <c r="E132" s="39">
        <f t="shared" si="2"/>
        <v>1</v>
      </c>
    </row>
    <row r="133" spans="1:5" x14ac:dyDescent="0.25">
      <c r="A133">
        <v>132</v>
      </c>
      <c r="D133" s="4">
        <v>1</v>
      </c>
      <c r="E133" s="39">
        <f t="shared" si="2"/>
        <v>1</v>
      </c>
    </row>
    <row r="134" spans="1:5" x14ac:dyDescent="0.25">
      <c r="A134">
        <v>133</v>
      </c>
      <c r="D134" s="4">
        <v>1</v>
      </c>
      <c r="E134" s="39">
        <f t="shared" si="2"/>
        <v>1</v>
      </c>
    </row>
    <row r="135" spans="1:5" x14ac:dyDescent="0.25">
      <c r="A135">
        <v>134</v>
      </c>
      <c r="D135" s="4">
        <v>1</v>
      </c>
      <c r="E135" s="39">
        <f t="shared" si="2"/>
        <v>1</v>
      </c>
    </row>
    <row r="136" spans="1:5" x14ac:dyDescent="0.25">
      <c r="A136">
        <v>135</v>
      </c>
      <c r="D136" s="4">
        <v>1</v>
      </c>
      <c r="E136" s="39">
        <f t="shared" si="2"/>
        <v>1</v>
      </c>
    </row>
    <row r="137" spans="1:5" x14ac:dyDescent="0.25">
      <c r="A137">
        <v>136</v>
      </c>
      <c r="B137" s="4">
        <v>0.5</v>
      </c>
      <c r="E137" s="39">
        <f t="shared" si="2"/>
        <v>0.5</v>
      </c>
    </row>
    <row r="138" spans="1:5" x14ac:dyDescent="0.25">
      <c r="A138">
        <v>137</v>
      </c>
      <c r="B138" s="4">
        <v>0.5</v>
      </c>
      <c r="E138" s="39">
        <f t="shared" si="2"/>
        <v>0.5</v>
      </c>
    </row>
    <row r="139" spans="1:5" x14ac:dyDescent="0.25">
      <c r="A139">
        <v>138</v>
      </c>
      <c r="B139" s="4">
        <v>0.5</v>
      </c>
      <c r="E139" s="39">
        <f t="shared" si="2"/>
        <v>0.5</v>
      </c>
    </row>
    <row r="140" spans="1:5" x14ac:dyDescent="0.25">
      <c r="A140">
        <v>139</v>
      </c>
      <c r="B140" s="4">
        <v>0.5</v>
      </c>
      <c r="E140" s="39">
        <f t="shared" si="2"/>
        <v>0.5</v>
      </c>
    </row>
    <row r="141" spans="1:5" x14ac:dyDescent="0.25">
      <c r="A141">
        <v>140</v>
      </c>
      <c r="B141" s="4">
        <v>0.5</v>
      </c>
      <c r="E141" s="39">
        <f t="shared" si="2"/>
        <v>0.5</v>
      </c>
    </row>
    <row r="142" spans="1:5" x14ac:dyDescent="0.25">
      <c r="A142">
        <v>141</v>
      </c>
      <c r="B142" s="4">
        <v>0.5</v>
      </c>
      <c r="E142" s="39">
        <f t="shared" si="2"/>
        <v>0.5</v>
      </c>
    </row>
    <row r="143" spans="1:5" x14ac:dyDescent="0.25">
      <c r="A143">
        <v>142</v>
      </c>
      <c r="B143" s="4">
        <v>0.5</v>
      </c>
      <c r="E143" s="39">
        <f t="shared" si="2"/>
        <v>0.5</v>
      </c>
    </row>
    <row r="144" spans="1:5" x14ac:dyDescent="0.25">
      <c r="A144">
        <v>143</v>
      </c>
      <c r="B144" s="4">
        <v>0.5</v>
      </c>
      <c r="E144" s="39">
        <f t="shared" si="2"/>
        <v>0.5</v>
      </c>
    </row>
    <row r="145" spans="1:5" x14ac:dyDescent="0.25">
      <c r="A145">
        <v>144</v>
      </c>
      <c r="B145" s="4">
        <v>0.5</v>
      </c>
      <c r="E145" s="39">
        <f t="shared" si="2"/>
        <v>0.5</v>
      </c>
    </row>
    <row r="146" spans="1:5" x14ac:dyDescent="0.25">
      <c r="A146">
        <v>145</v>
      </c>
      <c r="B146" s="4">
        <v>0.5</v>
      </c>
      <c r="E146" s="39">
        <f t="shared" si="2"/>
        <v>0.5</v>
      </c>
    </row>
    <row r="147" spans="1:5" x14ac:dyDescent="0.25">
      <c r="A147">
        <v>146</v>
      </c>
      <c r="B147" s="4">
        <v>0.5</v>
      </c>
      <c r="E147" s="39">
        <f t="shared" si="2"/>
        <v>0.5</v>
      </c>
    </row>
    <row r="148" spans="1:5" x14ac:dyDescent="0.25">
      <c r="A148">
        <v>147</v>
      </c>
      <c r="B148" s="4">
        <v>0.5</v>
      </c>
      <c r="E148" s="39">
        <f t="shared" si="2"/>
        <v>0.5</v>
      </c>
    </row>
    <row r="149" spans="1:5" x14ac:dyDescent="0.25">
      <c r="A149">
        <v>148</v>
      </c>
      <c r="B149" s="4">
        <v>0.5</v>
      </c>
      <c r="E149" s="39">
        <f t="shared" si="2"/>
        <v>0.5</v>
      </c>
    </row>
    <row r="150" spans="1:5" x14ac:dyDescent="0.25">
      <c r="A150">
        <v>149</v>
      </c>
      <c r="B150" s="4">
        <v>0.5</v>
      </c>
      <c r="E150" s="39">
        <f t="shared" si="2"/>
        <v>0.5</v>
      </c>
    </row>
    <row r="151" spans="1:5" x14ac:dyDescent="0.25">
      <c r="A151">
        <v>150</v>
      </c>
      <c r="B151" s="4">
        <v>0.5</v>
      </c>
      <c r="E151" s="39">
        <f t="shared" si="2"/>
        <v>0.5</v>
      </c>
    </row>
    <row r="152" spans="1:5" x14ac:dyDescent="0.25">
      <c r="A152">
        <v>151</v>
      </c>
      <c r="B152" s="4">
        <v>0.5</v>
      </c>
      <c r="E152" s="39">
        <f t="shared" si="2"/>
        <v>0.5</v>
      </c>
    </row>
    <row r="153" spans="1:5" x14ac:dyDescent="0.25">
      <c r="A153">
        <v>152</v>
      </c>
      <c r="C153" s="4">
        <v>0.5</v>
      </c>
      <c r="E153" s="39">
        <f t="shared" si="2"/>
        <v>0.5</v>
      </c>
    </row>
    <row r="154" spans="1:5" x14ac:dyDescent="0.25">
      <c r="A154">
        <v>153</v>
      </c>
      <c r="C154" s="4">
        <v>0.5</v>
      </c>
      <c r="E154" s="39">
        <f t="shared" si="2"/>
        <v>0.5</v>
      </c>
    </row>
    <row r="155" spans="1:5" x14ac:dyDescent="0.25">
      <c r="A155">
        <v>154</v>
      </c>
      <c r="C155" s="4">
        <v>0.5</v>
      </c>
      <c r="E155" s="39">
        <f t="shared" si="2"/>
        <v>0.5</v>
      </c>
    </row>
    <row r="156" spans="1:5" x14ac:dyDescent="0.25">
      <c r="A156">
        <v>155</v>
      </c>
      <c r="C156" s="4">
        <v>0.5</v>
      </c>
      <c r="E156" s="39">
        <f t="shared" si="2"/>
        <v>0.5</v>
      </c>
    </row>
    <row r="157" spans="1:5" x14ac:dyDescent="0.25">
      <c r="A157">
        <v>156</v>
      </c>
      <c r="C157" s="4">
        <v>0.5</v>
      </c>
      <c r="E157" s="39">
        <f t="shared" si="2"/>
        <v>0.5</v>
      </c>
    </row>
    <row r="158" spans="1:5" x14ac:dyDescent="0.25">
      <c r="A158">
        <v>157</v>
      </c>
      <c r="C158" s="4">
        <v>0.5</v>
      </c>
      <c r="E158" s="39">
        <f t="shared" si="2"/>
        <v>0.5</v>
      </c>
    </row>
    <row r="159" spans="1:5" x14ac:dyDescent="0.25">
      <c r="A159">
        <v>158</v>
      </c>
      <c r="C159" s="4">
        <v>0.5</v>
      </c>
      <c r="E159" s="39">
        <f t="shared" si="2"/>
        <v>0.5</v>
      </c>
    </row>
    <row r="160" spans="1:5" x14ac:dyDescent="0.25">
      <c r="A160">
        <v>159</v>
      </c>
      <c r="C160" s="4">
        <v>0.5</v>
      </c>
      <c r="E160" s="39">
        <f t="shared" si="2"/>
        <v>0.5</v>
      </c>
    </row>
    <row r="161" spans="1:5" x14ac:dyDescent="0.25">
      <c r="A161">
        <v>160</v>
      </c>
      <c r="C161" s="4">
        <v>0.5</v>
      </c>
      <c r="E161" s="39">
        <f t="shared" si="2"/>
        <v>0.5</v>
      </c>
    </row>
    <row r="162" spans="1:5" x14ac:dyDescent="0.25">
      <c r="A162">
        <v>161</v>
      </c>
      <c r="C162" s="4">
        <v>0.5</v>
      </c>
      <c r="E162" s="39">
        <f t="shared" si="2"/>
        <v>0.5</v>
      </c>
    </row>
    <row r="163" spans="1:5" x14ac:dyDescent="0.25">
      <c r="A163">
        <v>162</v>
      </c>
      <c r="C163" s="4">
        <v>0.5</v>
      </c>
      <c r="E163" s="39">
        <f t="shared" si="2"/>
        <v>0.5</v>
      </c>
    </row>
    <row r="164" spans="1:5" x14ac:dyDescent="0.25">
      <c r="A164">
        <v>163</v>
      </c>
      <c r="C164" s="4">
        <v>0.5</v>
      </c>
      <c r="E164" s="39">
        <f t="shared" si="2"/>
        <v>0.5</v>
      </c>
    </row>
    <row r="165" spans="1:5" x14ac:dyDescent="0.25">
      <c r="A165">
        <v>164</v>
      </c>
      <c r="C165" s="4">
        <v>0.5</v>
      </c>
      <c r="E165" s="39">
        <f t="shared" si="2"/>
        <v>0.5</v>
      </c>
    </row>
    <row r="166" spans="1:5" x14ac:dyDescent="0.25">
      <c r="A166">
        <v>165</v>
      </c>
      <c r="C166" s="4">
        <v>0.5</v>
      </c>
      <c r="E166" s="39">
        <f t="shared" si="2"/>
        <v>0.5</v>
      </c>
    </row>
    <row r="167" spans="1:5" x14ac:dyDescent="0.25">
      <c r="A167">
        <v>166</v>
      </c>
      <c r="C167" s="4">
        <v>0.5</v>
      </c>
      <c r="E167" s="39">
        <f t="shared" si="2"/>
        <v>0.5</v>
      </c>
    </row>
    <row r="168" spans="1:5" x14ac:dyDescent="0.25">
      <c r="A168">
        <v>167</v>
      </c>
      <c r="C168" s="4">
        <v>0.5</v>
      </c>
      <c r="E168" s="39">
        <f t="shared" si="2"/>
        <v>0.5</v>
      </c>
    </row>
    <row r="169" spans="1:5" x14ac:dyDescent="0.25">
      <c r="A169">
        <v>168</v>
      </c>
      <c r="C169" s="4">
        <v>0.5</v>
      </c>
      <c r="E169" s="39">
        <f t="shared" si="2"/>
        <v>0.5</v>
      </c>
    </row>
    <row r="170" spans="1:5" x14ac:dyDescent="0.25">
      <c r="A170">
        <v>169</v>
      </c>
      <c r="C170" s="4">
        <v>0.5</v>
      </c>
      <c r="E170" s="39">
        <f t="shared" si="2"/>
        <v>0.5</v>
      </c>
    </row>
    <row r="171" spans="1:5" x14ac:dyDescent="0.25">
      <c r="A171">
        <v>170</v>
      </c>
      <c r="C171" s="4">
        <v>0.5</v>
      </c>
      <c r="E171" s="39">
        <f t="shared" si="2"/>
        <v>0.5</v>
      </c>
    </row>
    <row r="172" spans="1:5" x14ac:dyDescent="0.25">
      <c r="A172">
        <v>171</v>
      </c>
      <c r="C172" s="4">
        <v>0.5</v>
      </c>
      <c r="E172" s="39">
        <f t="shared" si="2"/>
        <v>0.5</v>
      </c>
    </row>
    <row r="173" spans="1:5" x14ac:dyDescent="0.25">
      <c r="A173">
        <v>172</v>
      </c>
      <c r="C173" s="4">
        <v>0.5</v>
      </c>
      <c r="E173" s="39">
        <f t="shared" si="2"/>
        <v>0.5</v>
      </c>
    </row>
    <row r="174" spans="1:5" x14ac:dyDescent="0.25">
      <c r="A174">
        <v>173</v>
      </c>
      <c r="C174" s="4">
        <v>0.5</v>
      </c>
      <c r="E174" s="39">
        <f t="shared" si="2"/>
        <v>0.5</v>
      </c>
    </row>
    <row r="175" spans="1:5" x14ac:dyDescent="0.25">
      <c r="A175">
        <v>174</v>
      </c>
      <c r="C175" s="4">
        <v>0.5</v>
      </c>
      <c r="E175" s="39">
        <f t="shared" si="2"/>
        <v>0.5</v>
      </c>
    </row>
    <row r="176" spans="1:5" x14ac:dyDescent="0.25">
      <c r="A176">
        <v>175</v>
      </c>
      <c r="C176" s="4">
        <v>0.5</v>
      </c>
      <c r="E176" s="39">
        <f t="shared" si="2"/>
        <v>0.5</v>
      </c>
    </row>
    <row r="177" spans="1:5" x14ac:dyDescent="0.25">
      <c r="A177">
        <v>176</v>
      </c>
      <c r="C177" s="4">
        <v>0.5</v>
      </c>
      <c r="E177" s="39">
        <f t="shared" si="2"/>
        <v>0.5</v>
      </c>
    </row>
    <row r="178" spans="1:5" x14ac:dyDescent="0.25">
      <c r="A178">
        <v>177</v>
      </c>
      <c r="C178" s="4">
        <v>0.5</v>
      </c>
      <c r="E178" s="39">
        <f t="shared" si="2"/>
        <v>0.5</v>
      </c>
    </row>
    <row r="179" spans="1:5" x14ac:dyDescent="0.25">
      <c r="A179">
        <v>178</v>
      </c>
      <c r="C179" s="4">
        <v>0.5</v>
      </c>
      <c r="E179" s="39">
        <f t="shared" si="2"/>
        <v>0.5</v>
      </c>
    </row>
    <row r="180" spans="1:5" x14ac:dyDescent="0.25">
      <c r="A180">
        <v>179</v>
      </c>
      <c r="C180" s="4">
        <v>0.5</v>
      </c>
      <c r="E180" s="39">
        <f t="shared" si="2"/>
        <v>0.5</v>
      </c>
    </row>
    <row r="181" spans="1:5" x14ac:dyDescent="0.25">
      <c r="A181">
        <v>180</v>
      </c>
      <c r="C181" s="4">
        <v>0.5</v>
      </c>
      <c r="E181" s="39">
        <f t="shared" si="2"/>
        <v>0.5</v>
      </c>
    </row>
    <row r="182" spans="1:5" x14ac:dyDescent="0.25">
      <c r="A182">
        <v>181</v>
      </c>
      <c r="C182" s="4">
        <v>0.5</v>
      </c>
      <c r="E182" s="39">
        <f t="shared" si="2"/>
        <v>0.5</v>
      </c>
    </row>
    <row r="183" spans="1:5" x14ac:dyDescent="0.25">
      <c r="A183">
        <v>182</v>
      </c>
      <c r="C183" s="4">
        <v>0.5</v>
      </c>
      <c r="E183" s="39">
        <f t="shared" si="2"/>
        <v>0.5</v>
      </c>
    </row>
    <row r="184" spans="1:5" x14ac:dyDescent="0.25">
      <c r="A184">
        <v>183</v>
      </c>
      <c r="C184" s="4">
        <v>0.5</v>
      </c>
      <c r="E184" s="39">
        <f t="shared" si="2"/>
        <v>0.5</v>
      </c>
    </row>
    <row r="185" spans="1:5" x14ac:dyDescent="0.25">
      <c r="A185">
        <v>184</v>
      </c>
      <c r="C185" s="4">
        <v>0.5</v>
      </c>
      <c r="E185" s="39">
        <f t="shared" si="2"/>
        <v>0.5</v>
      </c>
    </row>
    <row r="186" spans="1:5" x14ac:dyDescent="0.25">
      <c r="A186">
        <v>185</v>
      </c>
      <c r="C186" s="4">
        <v>0.5</v>
      </c>
      <c r="E186" s="39">
        <f t="shared" si="2"/>
        <v>0.5</v>
      </c>
    </row>
    <row r="187" spans="1:5" x14ac:dyDescent="0.25">
      <c r="A187">
        <v>186</v>
      </c>
      <c r="D187" s="4">
        <v>0.5</v>
      </c>
      <c r="E187" s="39">
        <f t="shared" si="2"/>
        <v>0.5</v>
      </c>
    </row>
    <row r="188" spans="1:5" x14ac:dyDescent="0.25">
      <c r="A188">
        <v>187</v>
      </c>
      <c r="D188" s="4">
        <v>0.5</v>
      </c>
      <c r="E188" s="39">
        <f t="shared" si="2"/>
        <v>0.5</v>
      </c>
    </row>
    <row r="189" spans="1:5" x14ac:dyDescent="0.25">
      <c r="A189">
        <v>188</v>
      </c>
      <c r="D189" s="4">
        <v>0.5</v>
      </c>
      <c r="E189" s="39">
        <f t="shared" si="2"/>
        <v>0.5</v>
      </c>
    </row>
    <row r="190" spans="1:5" x14ac:dyDescent="0.25">
      <c r="A190">
        <v>189</v>
      </c>
      <c r="D190" s="4">
        <v>0.5</v>
      </c>
      <c r="E190" s="39">
        <f t="shared" si="2"/>
        <v>0.5</v>
      </c>
    </row>
    <row r="191" spans="1:5" x14ac:dyDescent="0.25">
      <c r="A191">
        <v>190</v>
      </c>
      <c r="D191" s="4">
        <v>0.5</v>
      </c>
      <c r="E191" s="39">
        <f t="shared" si="2"/>
        <v>0.5</v>
      </c>
    </row>
    <row r="192" spans="1:5" x14ac:dyDescent="0.25">
      <c r="A192">
        <v>191</v>
      </c>
      <c r="D192" s="4">
        <v>0.5</v>
      </c>
      <c r="E192" s="39">
        <f t="shared" si="2"/>
        <v>0.5</v>
      </c>
    </row>
    <row r="193" spans="1:5" x14ac:dyDescent="0.25">
      <c r="A193">
        <v>192</v>
      </c>
      <c r="D193" s="4">
        <v>0.5</v>
      </c>
      <c r="E193" s="39">
        <f t="shared" si="2"/>
        <v>0.5</v>
      </c>
    </row>
    <row r="194" spans="1:5" x14ac:dyDescent="0.25">
      <c r="A194">
        <v>193</v>
      </c>
      <c r="D194" s="4">
        <v>0.5</v>
      </c>
      <c r="E194" s="39">
        <f t="shared" si="2"/>
        <v>0.5</v>
      </c>
    </row>
    <row r="195" spans="1:5" x14ac:dyDescent="0.25">
      <c r="A195">
        <v>194</v>
      </c>
      <c r="D195" s="4">
        <v>0.5</v>
      </c>
      <c r="E195" s="39">
        <f t="shared" ref="E195:E258" si="3">SUM(B195:D195)</f>
        <v>0.5</v>
      </c>
    </row>
    <row r="196" spans="1:5" x14ac:dyDescent="0.25">
      <c r="A196">
        <v>195</v>
      </c>
      <c r="D196" s="4">
        <v>0.5</v>
      </c>
      <c r="E196" s="39">
        <f t="shared" si="3"/>
        <v>0.5</v>
      </c>
    </row>
    <row r="197" spans="1:5" x14ac:dyDescent="0.25">
      <c r="A197">
        <v>196</v>
      </c>
      <c r="D197" s="4">
        <v>0.5</v>
      </c>
      <c r="E197" s="39">
        <f t="shared" si="3"/>
        <v>0.5</v>
      </c>
    </row>
    <row r="198" spans="1:5" x14ac:dyDescent="0.25">
      <c r="A198">
        <v>197</v>
      </c>
      <c r="D198" s="4">
        <v>0.5</v>
      </c>
      <c r="E198" s="39">
        <f t="shared" si="3"/>
        <v>0.5</v>
      </c>
    </row>
    <row r="199" spans="1:5" x14ac:dyDescent="0.25">
      <c r="A199">
        <v>198</v>
      </c>
      <c r="D199" s="4">
        <v>0.5</v>
      </c>
      <c r="E199" s="39">
        <f t="shared" si="3"/>
        <v>0.5</v>
      </c>
    </row>
    <row r="200" spans="1:5" x14ac:dyDescent="0.25">
      <c r="A200">
        <v>199</v>
      </c>
      <c r="D200" s="4">
        <v>0.5</v>
      </c>
      <c r="E200" s="39">
        <f t="shared" si="3"/>
        <v>0.5</v>
      </c>
    </row>
    <row r="201" spans="1:5" x14ac:dyDescent="0.25">
      <c r="A201">
        <v>200</v>
      </c>
      <c r="D201" s="4">
        <v>0.5</v>
      </c>
      <c r="E201" s="39">
        <f t="shared" si="3"/>
        <v>0.5</v>
      </c>
    </row>
    <row r="202" spans="1:5" x14ac:dyDescent="0.25">
      <c r="A202">
        <v>201</v>
      </c>
      <c r="D202" s="4">
        <v>0.5</v>
      </c>
      <c r="E202" s="39">
        <f t="shared" si="3"/>
        <v>0.5</v>
      </c>
    </row>
    <row r="203" spans="1:5" x14ac:dyDescent="0.25">
      <c r="A203">
        <v>202</v>
      </c>
      <c r="D203" s="4">
        <v>0.5</v>
      </c>
      <c r="E203" s="39">
        <f t="shared" si="3"/>
        <v>0.5</v>
      </c>
    </row>
    <row r="204" spans="1:5" x14ac:dyDescent="0.25">
      <c r="A204">
        <v>203</v>
      </c>
      <c r="D204" s="4">
        <v>0.5</v>
      </c>
      <c r="E204" s="39">
        <f t="shared" si="3"/>
        <v>0.5</v>
      </c>
    </row>
    <row r="205" spans="1:5" x14ac:dyDescent="0.25">
      <c r="A205">
        <v>204</v>
      </c>
      <c r="D205" s="4">
        <v>0.5</v>
      </c>
      <c r="E205" s="39">
        <f t="shared" si="3"/>
        <v>0.5</v>
      </c>
    </row>
    <row r="206" spans="1:5" x14ac:dyDescent="0.25">
      <c r="A206">
        <v>205</v>
      </c>
      <c r="D206" s="4">
        <v>0.5</v>
      </c>
      <c r="E206" s="39">
        <f t="shared" si="3"/>
        <v>0.5</v>
      </c>
    </row>
    <row r="207" spans="1:5" x14ac:dyDescent="0.25">
      <c r="A207">
        <v>206</v>
      </c>
      <c r="D207" s="4">
        <v>0.5</v>
      </c>
      <c r="E207" s="39">
        <f t="shared" si="3"/>
        <v>0.5</v>
      </c>
    </row>
    <row r="208" spans="1:5" x14ac:dyDescent="0.25">
      <c r="A208">
        <v>207</v>
      </c>
      <c r="D208" s="4">
        <v>0.5</v>
      </c>
      <c r="E208" s="39">
        <f t="shared" si="3"/>
        <v>0.5</v>
      </c>
    </row>
    <row r="209" spans="1:5" x14ac:dyDescent="0.25">
      <c r="A209">
        <v>208</v>
      </c>
      <c r="D209" s="4">
        <v>0.5</v>
      </c>
      <c r="E209" s="39">
        <f t="shared" si="3"/>
        <v>0.5</v>
      </c>
    </row>
    <row r="210" spans="1:5" x14ac:dyDescent="0.25">
      <c r="A210">
        <v>209</v>
      </c>
      <c r="D210" s="4">
        <v>0.5</v>
      </c>
      <c r="E210" s="39">
        <f t="shared" si="3"/>
        <v>0.5</v>
      </c>
    </row>
    <row r="211" spans="1:5" x14ac:dyDescent="0.25">
      <c r="A211">
        <v>210</v>
      </c>
      <c r="D211" s="4">
        <v>0.5</v>
      </c>
      <c r="E211" s="39">
        <f t="shared" si="3"/>
        <v>0.5</v>
      </c>
    </row>
    <row r="212" spans="1:5" x14ac:dyDescent="0.25">
      <c r="A212">
        <v>211</v>
      </c>
      <c r="D212" s="4">
        <v>0.5</v>
      </c>
      <c r="E212" s="39">
        <f t="shared" si="3"/>
        <v>0.5</v>
      </c>
    </row>
    <row r="213" spans="1:5" x14ac:dyDescent="0.25">
      <c r="A213">
        <v>212</v>
      </c>
      <c r="D213" s="4">
        <v>0.5</v>
      </c>
      <c r="E213" s="39">
        <f t="shared" si="3"/>
        <v>0.5</v>
      </c>
    </row>
    <row r="214" spans="1:5" x14ac:dyDescent="0.25">
      <c r="A214">
        <v>213</v>
      </c>
      <c r="D214" s="4">
        <v>0.5</v>
      </c>
      <c r="E214" s="39">
        <f t="shared" si="3"/>
        <v>0.5</v>
      </c>
    </row>
    <row r="215" spans="1:5" x14ac:dyDescent="0.25">
      <c r="A215">
        <v>214</v>
      </c>
      <c r="D215" s="4">
        <v>0.5</v>
      </c>
      <c r="E215" s="39">
        <f t="shared" si="3"/>
        <v>0.5</v>
      </c>
    </row>
    <row r="216" spans="1:5" x14ac:dyDescent="0.25">
      <c r="A216">
        <v>215</v>
      </c>
      <c r="D216" s="4">
        <v>0.5</v>
      </c>
      <c r="E216" s="39">
        <f t="shared" si="3"/>
        <v>0.5</v>
      </c>
    </row>
    <row r="217" spans="1:5" x14ac:dyDescent="0.25">
      <c r="A217">
        <v>216</v>
      </c>
      <c r="D217" s="4">
        <v>0.5</v>
      </c>
      <c r="E217" s="39">
        <f t="shared" si="3"/>
        <v>0.5</v>
      </c>
    </row>
    <row r="218" spans="1:5" x14ac:dyDescent="0.25">
      <c r="A218">
        <v>217</v>
      </c>
      <c r="D218" s="4">
        <v>0.5</v>
      </c>
      <c r="E218" s="39">
        <f t="shared" si="3"/>
        <v>0.5</v>
      </c>
    </row>
    <row r="219" spans="1:5" x14ac:dyDescent="0.25">
      <c r="A219">
        <v>218</v>
      </c>
      <c r="D219" s="4">
        <v>0.5</v>
      </c>
      <c r="E219" s="39">
        <f t="shared" si="3"/>
        <v>0.5</v>
      </c>
    </row>
    <row r="220" spans="1:5" x14ac:dyDescent="0.25">
      <c r="A220">
        <v>219</v>
      </c>
      <c r="D220" s="4">
        <v>0.5</v>
      </c>
      <c r="E220" s="39">
        <f t="shared" si="3"/>
        <v>0.5</v>
      </c>
    </row>
    <row r="221" spans="1:5" x14ac:dyDescent="0.25">
      <c r="A221">
        <v>220</v>
      </c>
      <c r="D221" s="4">
        <v>0.5</v>
      </c>
      <c r="E221" s="39">
        <f t="shared" si="3"/>
        <v>0.5</v>
      </c>
    </row>
    <row r="222" spans="1:5" x14ac:dyDescent="0.25">
      <c r="A222">
        <v>221</v>
      </c>
      <c r="D222" s="4">
        <v>0.5</v>
      </c>
      <c r="E222" s="39">
        <f t="shared" si="3"/>
        <v>0.5</v>
      </c>
    </row>
    <row r="223" spans="1:5" x14ac:dyDescent="0.25">
      <c r="A223">
        <v>222</v>
      </c>
      <c r="D223" s="4">
        <v>0.5</v>
      </c>
      <c r="E223" s="39">
        <f t="shared" si="3"/>
        <v>0.5</v>
      </c>
    </row>
    <row r="224" spans="1:5" x14ac:dyDescent="0.25">
      <c r="A224">
        <v>223</v>
      </c>
      <c r="D224" s="4">
        <v>0.5</v>
      </c>
      <c r="E224" s="39">
        <f t="shared" si="3"/>
        <v>0.5</v>
      </c>
    </row>
    <row r="225" spans="1:5" x14ac:dyDescent="0.25">
      <c r="A225">
        <v>224</v>
      </c>
      <c r="D225" s="4">
        <v>0.5</v>
      </c>
      <c r="E225" s="39">
        <f t="shared" si="3"/>
        <v>0.5</v>
      </c>
    </row>
    <row r="226" spans="1:5" x14ac:dyDescent="0.25">
      <c r="A226">
        <v>225</v>
      </c>
      <c r="D226" s="4">
        <v>0.5</v>
      </c>
      <c r="E226" s="39">
        <f t="shared" si="3"/>
        <v>0.5</v>
      </c>
    </row>
    <row r="227" spans="1:5" x14ac:dyDescent="0.25">
      <c r="A227">
        <v>226</v>
      </c>
      <c r="D227" s="4">
        <v>0.5</v>
      </c>
      <c r="E227" s="39">
        <f t="shared" si="3"/>
        <v>0.5</v>
      </c>
    </row>
    <row r="228" spans="1:5" x14ac:dyDescent="0.25">
      <c r="A228">
        <v>227</v>
      </c>
      <c r="D228" s="4">
        <v>0.5</v>
      </c>
      <c r="E228" s="39">
        <f t="shared" si="3"/>
        <v>0.5</v>
      </c>
    </row>
    <row r="229" spans="1:5" x14ac:dyDescent="0.25">
      <c r="A229">
        <v>228</v>
      </c>
      <c r="D229" s="4">
        <v>0.5</v>
      </c>
      <c r="E229" s="39">
        <f t="shared" si="3"/>
        <v>0.5</v>
      </c>
    </row>
    <row r="230" spans="1:5" x14ac:dyDescent="0.25">
      <c r="A230">
        <v>229</v>
      </c>
      <c r="D230" s="4">
        <v>0.5</v>
      </c>
      <c r="E230" s="39">
        <f t="shared" si="3"/>
        <v>0.5</v>
      </c>
    </row>
    <row r="231" spans="1:5" x14ac:dyDescent="0.25">
      <c r="A231">
        <v>230</v>
      </c>
      <c r="D231" s="4">
        <v>0.5</v>
      </c>
      <c r="E231" s="39">
        <f t="shared" si="3"/>
        <v>0.5</v>
      </c>
    </row>
    <row r="232" spans="1:5" x14ac:dyDescent="0.25">
      <c r="A232">
        <v>231</v>
      </c>
      <c r="D232" s="4">
        <v>0.5</v>
      </c>
      <c r="E232" s="39">
        <f t="shared" si="3"/>
        <v>0.5</v>
      </c>
    </row>
    <row r="233" spans="1:5" x14ac:dyDescent="0.25">
      <c r="A233">
        <v>232</v>
      </c>
      <c r="D233" s="4">
        <v>0.5</v>
      </c>
      <c r="E233" s="39">
        <f t="shared" si="3"/>
        <v>0.5</v>
      </c>
    </row>
    <row r="234" spans="1:5" x14ac:dyDescent="0.25">
      <c r="A234">
        <v>233</v>
      </c>
      <c r="D234" s="4">
        <v>0.5</v>
      </c>
      <c r="E234" s="39">
        <f t="shared" si="3"/>
        <v>0.5</v>
      </c>
    </row>
    <row r="235" spans="1:5" x14ac:dyDescent="0.25">
      <c r="A235">
        <v>234</v>
      </c>
      <c r="D235" s="4">
        <v>0.5</v>
      </c>
      <c r="E235" s="39">
        <f t="shared" si="3"/>
        <v>0.5</v>
      </c>
    </row>
    <row r="236" spans="1:5" x14ac:dyDescent="0.25">
      <c r="A236">
        <v>235</v>
      </c>
      <c r="D236" s="4">
        <v>0.5</v>
      </c>
      <c r="E236" s="39">
        <f t="shared" si="3"/>
        <v>0.5</v>
      </c>
    </row>
    <row r="237" spans="1:5" x14ac:dyDescent="0.25">
      <c r="A237">
        <v>236</v>
      </c>
      <c r="D237" s="4">
        <v>0.5</v>
      </c>
      <c r="E237" s="39">
        <f t="shared" si="3"/>
        <v>0.5</v>
      </c>
    </row>
    <row r="238" spans="1:5" x14ac:dyDescent="0.25">
      <c r="A238">
        <v>237</v>
      </c>
      <c r="D238" s="4">
        <v>0.5</v>
      </c>
      <c r="E238" s="39">
        <f t="shared" si="3"/>
        <v>0.5</v>
      </c>
    </row>
    <row r="239" spans="1:5" x14ac:dyDescent="0.25">
      <c r="A239">
        <v>238</v>
      </c>
      <c r="D239" s="4">
        <v>0.5</v>
      </c>
      <c r="E239" s="39">
        <f t="shared" si="3"/>
        <v>0.5</v>
      </c>
    </row>
    <row r="240" spans="1:5" x14ac:dyDescent="0.25">
      <c r="A240">
        <v>239</v>
      </c>
      <c r="D240" s="4">
        <v>0.5</v>
      </c>
      <c r="E240" s="39">
        <f t="shared" si="3"/>
        <v>0.5</v>
      </c>
    </row>
    <row r="241" spans="1:5" x14ac:dyDescent="0.25">
      <c r="A241">
        <v>240</v>
      </c>
      <c r="D241" s="4">
        <v>0.5</v>
      </c>
      <c r="E241" s="39">
        <f t="shared" si="3"/>
        <v>0.5</v>
      </c>
    </row>
    <row r="242" spans="1:5" x14ac:dyDescent="0.25">
      <c r="A242">
        <v>241</v>
      </c>
      <c r="D242" s="4">
        <v>0.5</v>
      </c>
      <c r="E242" s="39">
        <f t="shared" si="3"/>
        <v>0.5</v>
      </c>
    </row>
    <row r="243" spans="1:5" x14ac:dyDescent="0.25">
      <c r="A243">
        <v>242</v>
      </c>
      <c r="D243" s="4">
        <v>0.5</v>
      </c>
      <c r="E243" s="39">
        <f t="shared" si="3"/>
        <v>0.5</v>
      </c>
    </row>
    <row r="244" spans="1:5" x14ac:dyDescent="0.25">
      <c r="A244">
        <v>243</v>
      </c>
      <c r="D244" s="4">
        <v>0.5</v>
      </c>
      <c r="E244" s="39">
        <f t="shared" si="3"/>
        <v>0.5</v>
      </c>
    </row>
    <row r="245" spans="1:5" x14ac:dyDescent="0.25">
      <c r="A245">
        <v>244</v>
      </c>
      <c r="D245" s="4">
        <v>0.5</v>
      </c>
      <c r="E245" s="39">
        <f t="shared" si="3"/>
        <v>0.5</v>
      </c>
    </row>
    <row r="246" spans="1:5" x14ac:dyDescent="0.25">
      <c r="A246">
        <v>245</v>
      </c>
      <c r="D246" s="4">
        <v>0.5</v>
      </c>
      <c r="E246" s="39">
        <f t="shared" si="3"/>
        <v>0.5</v>
      </c>
    </row>
    <row r="247" spans="1:5" x14ac:dyDescent="0.25">
      <c r="A247">
        <v>246</v>
      </c>
      <c r="D247" s="4">
        <v>0.5</v>
      </c>
      <c r="E247" s="39">
        <f t="shared" si="3"/>
        <v>0.5</v>
      </c>
    </row>
    <row r="248" spans="1:5" x14ac:dyDescent="0.25">
      <c r="A248">
        <v>247</v>
      </c>
      <c r="D248" s="4">
        <v>0.5</v>
      </c>
      <c r="E248" s="39">
        <f t="shared" si="3"/>
        <v>0.5</v>
      </c>
    </row>
    <row r="249" spans="1:5" x14ac:dyDescent="0.25">
      <c r="A249">
        <v>248</v>
      </c>
      <c r="D249" s="4">
        <v>0.5</v>
      </c>
      <c r="E249" s="39">
        <f t="shared" si="3"/>
        <v>0.5</v>
      </c>
    </row>
    <row r="250" spans="1:5" x14ac:dyDescent="0.25">
      <c r="A250">
        <v>249</v>
      </c>
      <c r="D250" s="4">
        <v>0.5</v>
      </c>
      <c r="E250" s="39">
        <f t="shared" si="3"/>
        <v>0.5</v>
      </c>
    </row>
    <row r="251" spans="1:5" x14ac:dyDescent="0.25">
      <c r="A251">
        <v>250</v>
      </c>
      <c r="D251" s="4">
        <v>0.5</v>
      </c>
      <c r="E251" s="39">
        <f t="shared" si="3"/>
        <v>0.5</v>
      </c>
    </row>
    <row r="252" spans="1:5" x14ac:dyDescent="0.25">
      <c r="A252">
        <v>251</v>
      </c>
      <c r="D252" s="4">
        <v>0.5</v>
      </c>
      <c r="E252" s="39">
        <f t="shared" si="3"/>
        <v>0.5</v>
      </c>
    </row>
    <row r="253" spans="1:5" x14ac:dyDescent="0.25">
      <c r="A253">
        <v>252</v>
      </c>
      <c r="D253" s="4">
        <v>0.5</v>
      </c>
      <c r="E253" s="39">
        <f t="shared" si="3"/>
        <v>0.5</v>
      </c>
    </row>
    <row r="254" spans="1:5" x14ac:dyDescent="0.25">
      <c r="A254">
        <v>253</v>
      </c>
      <c r="D254" s="4">
        <v>0.5</v>
      </c>
      <c r="E254" s="39">
        <f t="shared" si="3"/>
        <v>0.5</v>
      </c>
    </row>
    <row r="255" spans="1:5" x14ac:dyDescent="0.25">
      <c r="A255">
        <v>254</v>
      </c>
      <c r="D255" s="4">
        <v>0.5</v>
      </c>
      <c r="E255" s="39">
        <f t="shared" si="3"/>
        <v>0.5</v>
      </c>
    </row>
    <row r="256" spans="1:5" x14ac:dyDescent="0.25">
      <c r="A256">
        <v>255</v>
      </c>
      <c r="D256" s="4">
        <v>0.5</v>
      </c>
      <c r="E256" s="39">
        <f t="shared" si="3"/>
        <v>0.5</v>
      </c>
    </row>
    <row r="257" spans="1:5" x14ac:dyDescent="0.25">
      <c r="A257">
        <v>256</v>
      </c>
      <c r="D257" s="4">
        <v>0.5</v>
      </c>
      <c r="E257" s="39">
        <f t="shared" si="3"/>
        <v>0.5</v>
      </c>
    </row>
    <row r="258" spans="1:5" x14ac:dyDescent="0.25">
      <c r="A258">
        <v>257</v>
      </c>
      <c r="D258" s="4">
        <v>0.5</v>
      </c>
      <c r="E258" s="39">
        <f t="shared" si="3"/>
        <v>0.5</v>
      </c>
    </row>
    <row r="259" spans="1:5" x14ac:dyDescent="0.25">
      <c r="A259">
        <v>258</v>
      </c>
      <c r="D259" s="4">
        <v>0.5</v>
      </c>
      <c r="E259" s="39">
        <f t="shared" ref="E259:E322" si="4">SUM(B259:D259)</f>
        <v>0.5</v>
      </c>
    </row>
    <row r="260" spans="1:5" x14ac:dyDescent="0.25">
      <c r="A260">
        <v>259</v>
      </c>
      <c r="E260" s="39">
        <f t="shared" si="4"/>
        <v>0</v>
      </c>
    </row>
    <row r="261" spans="1:5" x14ac:dyDescent="0.25">
      <c r="A261">
        <v>260</v>
      </c>
      <c r="E261" s="39">
        <f t="shared" si="4"/>
        <v>0</v>
      </c>
    </row>
    <row r="262" spans="1:5" x14ac:dyDescent="0.25">
      <c r="A262">
        <v>261</v>
      </c>
      <c r="E262" s="39">
        <f t="shared" si="4"/>
        <v>0</v>
      </c>
    </row>
    <row r="263" spans="1:5" x14ac:dyDescent="0.25">
      <c r="A263">
        <v>262</v>
      </c>
      <c r="E263" s="39">
        <f t="shared" si="4"/>
        <v>0</v>
      </c>
    </row>
    <row r="264" spans="1:5" x14ac:dyDescent="0.25">
      <c r="A264">
        <v>263</v>
      </c>
      <c r="E264" s="39">
        <f t="shared" si="4"/>
        <v>0</v>
      </c>
    </row>
    <row r="265" spans="1:5" x14ac:dyDescent="0.25">
      <c r="A265">
        <v>264</v>
      </c>
      <c r="E265" s="39">
        <f t="shared" si="4"/>
        <v>0</v>
      </c>
    </row>
    <row r="266" spans="1:5" x14ac:dyDescent="0.25">
      <c r="A266">
        <v>265</v>
      </c>
      <c r="E266" s="39">
        <f t="shared" si="4"/>
        <v>0</v>
      </c>
    </row>
    <row r="267" spans="1:5" x14ac:dyDescent="0.25">
      <c r="A267">
        <v>266</v>
      </c>
      <c r="E267" s="39">
        <f t="shared" si="4"/>
        <v>0</v>
      </c>
    </row>
    <row r="268" spans="1:5" x14ac:dyDescent="0.25">
      <c r="A268">
        <v>267</v>
      </c>
      <c r="E268" s="39">
        <f t="shared" si="4"/>
        <v>0</v>
      </c>
    </row>
    <row r="269" spans="1:5" x14ac:dyDescent="0.25">
      <c r="A269">
        <v>268</v>
      </c>
      <c r="E269" s="39">
        <f t="shared" si="4"/>
        <v>0</v>
      </c>
    </row>
    <row r="270" spans="1:5" x14ac:dyDescent="0.25">
      <c r="A270">
        <v>269</v>
      </c>
      <c r="E270" s="39">
        <f t="shared" si="4"/>
        <v>0</v>
      </c>
    </row>
    <row r="271" spans="1:5" x14ac:dyDescent="0.25">
      <c r="A271">
        <v>270</v>
      </c>
      <c r="E271" s="39">
        <f t="shared" si="4"/>
        <v>0</v>
      </c>
    </row>
    <row r="272" spans="1:5" x14ac:dyDescent="0.25">
      <c r="A272">
        <v>271</v>
      </c>
      <c r="E272" s="39">
        <f t="shared" si="4"/>
        <v>0</v>
      </c>
    </row>
    <row r="273" spans="1:5" x14ac:dyDescent="0.25">
      <c r="A273">
        <v>272</v>
      </c>
      <c r="E273" s="39">
        <f t="shared" si="4"/>
        <v>0</v>
      </c>
    </row>
    <row r="274" spans="1:5" x14ac:dyDescent="0.25">
      <c r="A274">
        <v>273</v>
      </c>
      <c r="E274" s="39">
        <f t="shared" si="4"/>
        <v>0</v>
      </c>
    </row>
    <row r="275" spans="1:5" x14ac:dyDescent="0.25">
      <c r="A275">
        <v>274</v>
      </c>
      <c r="E275" s="39">
        <f t="shared" si="4"/>
        <v>0</v>
      </c>
    </row>
    <row r="276" spans="1:5" x14ac:dyDescent="0.25">
      <c r="A276">
        <v>275</v>
      </c>
      <c r="E276" s="39">
        <f t="shared" si="4"/>
        <v>0</v>
      </c>
    </row>
    <row r="277" spans="1:5" x14ac:dyDescent="0.25">
      <c r="A277">
        <v>276</v>
      </c>
      <c r="E277" s="39">
        <f t="shared" si="4"/>
        <v>0</v>
      </c>
    </row>
    <row r="278" spans="1:5" x14ac:dyDescent="0.25">
      <c r="A278">
        <v>277</v>
      </c>
      <c r="E278" s="39">
        <f t="shared" si="4"/>
        <v>0</v>
      </c>
    </row>
    <row r="279" spans="1:5" x14ac:dyDescent="0.25">
      <c r="A279">
        <v>278</v>
      </c>
      <c r="E279" s="39">
        <f t="shared" si="4"/>
        <v>0</v>
      </c>
    </row>
    <row r="280" spans="1:5" x14ac:dyDescent="0.25">
      <c r="A280">
        <v>279</v>
      </c>
      <c r="E280" s="39">
        <f t="shared" si="4"/>
        <v>0</v>
      </c>
    </row>
    <row r="281" spans="1:5" x14ac:dyDescent="0.25">
      <c r="A281">
        <v>280</v>
      </c>
      <c r="E281" s="39">
        <f t="shared" si="4"/>
        <v>0</v>
      </c>
    </row>
    <row r="282" spans="1:5" x14ac:dyDescent="0.25">
      <c r="A282">
        <v>281</v>
      </c>
      <c r="E282" s="39">
        <f t="shared" si="4"/>
        <v>0</v>
      </c>
    </row>
    <row r="283" spans="1:5" x14ac:dyDescent="0.25">
      <c r="A283">
        <v>282</v>
      </c>
      <c r="E283" s="39">
        <f t="shared" si="4"/>
        <v>0</v>
      </c>
    </row>
    <row r="284" spans="1:5" x14ac:dyDescent="0.25">
      <c r="A284">
        <v>283</v>
      </c>
      <c r="E284" s="39">
        <f t="shared" si="4"/>
        <v>0</v>
      </c>
    </row>
    <row r="285" spans="1:5" x14ac:dyDescent="0.25">
      <c r="A285">
        <v>284</v>
      </c>
      <c r="E285" s="39">
        <f t="shared" si="4"/>
        <v>0</v>
      </c>
    </row>
    <row r="286" spans="1:5" x14ac:dyDescent="0.25">
      <c r="A286">
        <v>285</v>
      </c>
      <c r="E286" s="39">
        <f t="shared" si="4"/>
        <v>0</v>
      </c>
    </row>
    <row r="287" spans="1:5" x14ac:dyDescent="0.25">
      <c r="A287">
        <v>286</v>
      </c>
      <c r="E287" s="39">
        <f t="shared" si="4"/>
        <v>0</v>
      </c>
    </row>
    <row r="288" spans="1:5" x14ac:dyDescent="0.25">
      <c r="A288">
        <v>287</v>
      </c>
      <c r="E288" s="39">
        <f t="shared" si="4"/>
        <v>0</v>
      </c>
    </row>
    <row r="289" spans="1:5" x14ac:dyDescent="0.25">
      <c r="A289">
        <v>288</v>
      </c>
      <c r="E289" s="39">
        <f t="shared" si="4"/>
        <v>0</v>
      </c>
    </row>
    <row r="290" spans="1:5" x14ac:dyDescent="0.25">
      <c r="A290">
        <v>289</v>
      </c>
      <c r="E290" s="39">
        <f t="shared" si="4"/>
        <v>0</v>
      </c>
    </row>
    <row r="291" spans="1:5" x14ac:dyDescent="0.25">
      <c r="A291">
        <v>290</v>
      </c>
      <c r="E291" s="39">
        <f t="shared" si="4"/>
        <v>0</v>
      </c>
    </row>
    <row r="292" spans="1:5" x14ac:dyDescent="0.25">
      <c r="A292">
        <v>291</v>
      </c>
      <c r="E292" s="39">
        <f t="shared" si="4"/>
        <v>0</v>
      </c>
    </row>
    <row r="293" spans="1:5" x14ac:dyDescent="0.25">
      <c r="A293">
        <v>292</v>
      </c>
      <c r="E293" s="39">
        <f t="shared" si="4"/>
        <v>0</v>
      </c>
    </row>
    <row r="294" spans="1:5" x14ac:dyDescent="0.25">
      <c r="A294">
        <v>293</v>
      </c>
      <c r="E294" s="39">
        <f t="shared" si="4"/>
        <v>0</v>
      </c>
    </row>
    <row r="295" spans="1:5" x14ac:dyDescent="0.25">
      <c r="A295">
        <v>294</v>
      </c>
      <c r="E295" s="39">
        <f t="shared" si="4"/>
        <v>0</v>
      </c>
    </row>
    <row r="296" spans="1:5" x14ac:dyDescent="0.25">
      <c r="A296">
        <v>295</v>
      </c>
      <c r="E296" s="39">
        <f t="shared" si="4"/>
        <v>0</v>
      </c>
    </row>
    <row r="297" spans="1:5" x14ac:dyDescent="0.25">
      <c r="A297">
        <v>296</v>
      </c>
      <c r="E297" s="39">
        <f t="shared" si="4"/>
        <v>0</v>
      </c>
    </row>
    <row r="298" spans="1:5" x14ac:dyDescent="0.25">
      <c r="A298">
        <v>297</v>
      </c>
      <c r="E298" s="39">
        <f t="shared" si="4"/>
        <v>0</v>
      </c>
    </row>
    <row r="299" spans="1:5" x14ac:dyDescent="0.25">
      <c r="A299">
        <v>298</v>
      </c>
      <c r="E299" s="39">
        <f t="shared" si="4"/>
        <v>0</v>
      </c>
    </row>
    <row r="300" spans="1:5" x14ac:dyDescent="0.25">
      <c r="A300">
        <v>299</v>
      </c>
      <c r="E300" s="39">
        <f t="shared" si="4"/>
        <v>0</v>
      </c>
    </row>
    <row r="301" spans="1:5" x14ac:dyDescent="0.25">
      <c r="A301">
        <v>300</v>
      </c>
      <c r="E301" s="39">
        <f t="shared" si="4"/>
        <v>0</v>
      </c>
    </row>
    <row r="302" spans="1:5" x14ac:dyDescent="0.25">
      <c r="A302">
        <v>301</v>
      </c>
      <c r="E302" s="39">
        <f t="shared" si="4"/>
        <v>0</v>
      </c>
    </row>
    <row r="303" spans="1:5" x14ac:dyDescent="0.25">
      <c r="A303">
        <v>302</v>
      </c>
      <c r="E303" s="39">
        <f t="shared" si="4"/>
        <v>0</v>
      </c>
    </row>
    <row r="304" spans="1:5" x14ac:dyDescent="0.25">
      <c r="A304">
        <v>303</v>
      </c>
      <c r="E304" s="39">
        <f t="shared" si="4"/>
        <v>0</v>
      </c>
    </row>
    <row r="305" spans="1:5" x14ac:dyDescent="0.25">
      <c r="A305">
        <v>304</v>
      </c>
      <c r="E305" s="39">
        <f t="shared" si="4"/>
        <v>0</v>
      </c>
    </row>
    <row r="306" spans="1:5" x14ac:dyDescent="0.25">
      <c r="A306">
        <v>305</v>
      </c>
      <c r="E306" s="39">
        <f t="shared" si="4"/>
        <v>0</v>
      </c>
    </row>
    <row r="307" spans="1:5" x14ac:dyDescent="0.25">
      <c r="A307">
        <v>306</v>
      </c>
      <c r="E307" s="39">
        <f t="shared" si="4"/>
        <v>0</v>
      </c>
    </row>
    <row r="308" spans="1:5" x14ac:dyDescent="0.25">
      <c r="A308">
        <v>307</v>
      </c>
      <c r="E308" s="39">
        <f t="shared" si="4"/>
        <v>0</v>
      </c>
    </row>
    <row r="309" spans="1:5" x14ac:dyDescent="0.25">
      <c r="A309">
        <v>308</v>
      </c>
      <c r="E309" s="39">
        <f t="shared" si="4"/>
        <v>0</v>
      </c>
    </row>
    <row r="310" spans="1:5" x14ac:dyDescent="0.25">
      <c r="A310">
        <v>309</v>
      </c>
      <c r="E310" s="39">
        <f t="shared" si="4"/>
        <v>0</v>
      </c>
    </row>
    <row r="311" spans="1:5" x14ac:dyDescent="0.25">
      <c r="A311">
        <v>310</v>
      </c>
      <c r="E311" s="39">
        <f t="shared" si="4"/>
        <v>0</v>
      </c>
    </row>
    <row r="312" spans="1:5" x14ac:dyDescent="0.25">
      <c r="A312">
        <v>311</v>
      </c>
      <c r="E312" s="39">
        <f t="shared" si="4"/>
        <v>0</v>
      </c>
    </row>
    <row r="313" spans="1:5" x14ac:dyDescent="0.25">
      <c r="A313">
        <v>312</v>
      </c>
      <c r="E313" s="39">
        <f t="shared" si="4"/>
        <v>0</v>
      </c>
    </row>
    <row r="314" spans="1:5" x14ac:dyDescent="0.25">
      <c r="A314">
        <v>313</v>
      </c>
      <c r="E314" s="39">
        <f t="shared" si="4"/>
        <v>0</v>
      </c>
    </row>
    <row r="315" spans="1:5" x14ac:dyDescent="0.25">
      <c r="A315">
        <v>314</v>
      </c>
      <c r="E315" s="39">
        <f t="shared" si="4"/>
        <v>0</v>
      </c>
    </row>
    <row r="316" spans="1:5" x14ac:dyDescent="0.25">
      <c r="A316">
        <v>315</v>
      </c>
      <c r="E316" s="39">
        <f t="shared" si="4"/>
        <v>0</v>
      </c>
    </row>
    <row r="317" spans="1:5" x14ac:dyDescent="0.25">
      <c r="A317">
        <v>316</v>
      </c>
      <c r="E317" s="39">
        <f t="shared" si="4"/>
        <v>0</v>
      </c>
    </row>
    <row r="318" spans="1:5" x14ac:dyDescent="0.25">
      <c r="A318">
        <v>317</v>
      </c>
      <c r="E318" s="39">
        <f t="shared" si="4"/>
        <v>0</v>
      </c>
    </row>
    <row r="319" spans="1:5" x14ac:dyDescent="0.25">
      <c r="A319">
        <v>318</v>
      </c>
      <c r="E319" s="39">
        <f t="shared" si="4"/>
        <v>0</v>
      </c>
    </row>
    <row r="320" spans="1:5" x14ac:dyDescent="0.25">
      <c r="A320">
        <v>319</v>
      </c>
      <c r="E320" s="39">
        <f t="shared" si="4"/>
        <v>0</v>
      </c>
    </row>
    <row r="321" spans="1:5" x14ac:dyDescent="0.25">
      <c r="A321">
        <v>320</v>
      </c>
      <c r="E321" s="39">
        <f t="shared" si="4"/>
        <v>0</v>
      </c>
    </row>
    <row r="322" spans="1:5" x14ac:dyDescent="0.25">
      <c r="A322">
        <v>321</v>
      </c>
      <c r="E322" s="39">
        <f t="shared" si="4"/>
        <v>0</v>
      </c>
    </row>
    <row r="323" spans="1:5" x14ac:dyDescent="0.25">
      <c r="A323">
        <v>322</v>
      </c>
      <c r="E323" s="39">
        <f>SUM(B323:D323)</f>
        <v>0</v>
      </c>
    </row>
    <row r="324" spans="1:5" x14ac:dyDescent="0.25">
      <c r="A324">
        <v>323</v>
      </c>
      <c r="E324" s="39">
        <f>SUM(B324:D324)</f>
        <v>0</v>
      </c>
    </row>
    <row r="325" spans="1:5" x14ac:dyDescent="0.25">
      <c r="A325">
        <v>324</v>
      </c>
      <c r="E325" s="39">
        <f>SUM(B325:D325)</f>
        <v>0</v>
      </c>
    </row>
    <row r="326" spans="1:5" x14ac:dyDescent="0.25">
      <c r="A326">
        <v>325</v>
      </c>
      <c r="E326" s="39">
        <f>SUM(B326:D326)</f>
        <v>0</v>
      </c>
    </row>
  </sheetData>
  <dataValidations count="1">
    <dataValidation type="list" allowBlank="1" showInputMessage="1" showErrorMessage="1" sqref="E2:E326">
      <formula1>$F$2:$F$4</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'Cell values'!$E$2:$E$4</xm:f>
          </x14:formula1>
          <xm:sqref>B2:D1048576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AE43"/>
  <sheetViews>
    <sheetView workbookViewId="0">
      <selection activeCell="K2" sqref="K2"/>
    </sheetView>
  </sheetViews>
  <sheetFormatPr defaultRowHeight="15" x14ac:dyDescent="0.25"/>
  <cols>
    <col min="1" max="1" width="22.7109375" customWidth="1"/>
    <col min="2" max="2" width="13.28515625" customWidth="1"/>
    <col min="12" max="12" width="17.28515625" customWidth="1"/>
    <col min="14" max="14" width="10.140625" customWidth="1"/>
    <col min="16" max="16" width="10.5703125" customWidth="1"/>
    <col min="17" max="17" width="10.7109375" customWidth="1"/>
    <col min="18" max="18" width="7" customWidth="1"/>
    <col min="19" max="19" width="18.7109375" customWidth="1"/>
    <col min="20" max="20" width="14.42578125" customWidth="1"/>
    <col min="21" max="21" width="14" customWidth="1"/>
    <col min="22" max="22" width="7.5703125" customWidth="1"/>
    <col min="23" max="23" width="5.85546875" customWidth="1"/>
    <col min="24" max="24" width="13.42578125" customWidth="1"/>
    <col min="25" max="25" width="8.42578125" customWidth="1"/>
    <col min="26" max="26" width="9.7109375" customWidth="1"/>
    <col min="27" max="27" width="6.140625" customWidth="1"/>
    <col min="28" max="28" width="6.85546875" customWidth="1"/>
    <col min="29" max="29" width="9" customWidth="1"/>
    <col min="30" max="30" width="6.85546875" customWidth="1"/>
  </cols>
  <sheetData>
    <row r="1" spans="1:31" x14ac:dyDescent="0.25">
      <c r="A1" s="45"/>
      <c r="B1" s="125" t="s">
        <v>1206</v>
      </c>
      <c r="C1" s="123" t="s">
        <v>1205</v>
      </c>
      <c r="D1" s="123"/>
      <c r="E1" s="123"/>
      <c r="F1" s="123"/>
      <c r="G1" s="123"/>
      <c r="H1" s="123"/>
      <c r="I1" s="124"/>
    </row>
    <row r="2" spans="1:31" x14ac:dyDescent="0.25">
      <c r="A2" s="46" t="s">
        <v>52</v>
      </c>
      <c r="B2" s="126"/>
      <c r="C2" s="40">
        <v>0</v>
      </c>
      <c r="D2" s="40">
        <v>0.5</v>
      </c>
      <c r="E2" s="40">
        <v>1</v>
      </c>
      <c r="F2" s="40">
        <v>1.5</v>
      </c>
      <c r="G2" s="40">
        <v>2</v>
      </c>
      <c r="H2" s="40">
        <v>2.5</v>
      </c>
      <c r="I2" s="47">
        <v>3</v>
      </c>
      <c r="K2" s="59"/>
      <c r="L2" s="59"/>
      <c r="M2" s="59"/>
      <c r="N2" s="59"/>
      <c r="O2" s="59"/>
      <c r="P2" s="59"/>
      <c r="Q2" s="59"/>
      <c r="R2" s="59"/>
      <c r="S2" s="59"/>
      <c r="T2" s="59"/>
      <c r="U2" s="59"/>
      <c r="V2" s="59"/>
      <c r="W2" s="59"/>
      <c r="X2" s="59"/>
      <c r="Y2" s="59"/>
      <c r="Z2" s="59"/>
      <c r="AA2" s="59"/>
      <c r="AB2" s="59"/>
      <c r="AC2" s="59"/>
      <c r="AD2" s="59"/>
      <c r="AE2" s="58"/>
    </row>
    <row r="3" spans="1:31" x14ac:dyDescent="0.25">
      <c r="A3" s="48" t="s">
        <v>1032</v>
      </c>
      <c r="B3" s="41">
        <f>COUNTIF(Records!F:J,"Economic Development")</f>
        <v>20</v>
      </c>
      <c r="C3" s="42">
        <f>COUNTIFS(Records!F:F,"Economic Development",Records!Z:Z,0)+COUNTIFS(Records!G:G,"Economic Development",Records!Z:Z,0)+COUNTIFS(Records!H:H,"Economic Development",Records!Z:Z,0)+COUNTIFS(Records!I:I,"Economic Development",Records!Z:Z,0)+COUNTIFS(Records!J:J,"Economic Development",Records!Z:Z,0)</f>
        <v>0</v>
      </c>
      <c r="D3" s="42">
        <f>COUNTIFS(Records!F:F,"Economic Development",Records!Z:Z,0.5)+COUNTIFS(Records!G:G,"Economic Development",Records!Z:Z,0.5)+COUNTIFS(Records!H:H,"Economic Development",Records!Z:Z,0.5)+COUNTIFS(Records!I:I,"Economic Development",Records!Z:Z,0.5)+COUNTIFS(Records!J:J,"Economic Development",Records!Z:Z,0.5)</f>
        <v>7</v>
      </c>
      <c r="E3" s="42">
        <f>COUNTIFS(Records!F:F,"Economic Development",Records!Z:Z,1)+COUNTIFS(Records!G:G,"Economic Development",Records!Z:Z,1)+COUNTIFS(Records!H:H,"Economic Development",Records!Z:Z,1)+COUNTIFS(Records!I:I,"Economic Development",Records!Z:Z,1)+COUNTIFS(Records!J:J,"Economic Development",Records!Z:Z,1)</f>
        <v>7</v>
      </c>
      <c r="F3" s="42">
        <f>COUNTIFS(Records!F:F,"Economic Development",Records!Z:Z,1.5)+COUNTIFS(Records!G:G,"Economic Development",Records!Z:Z,1.5)+COUNTIFS(Records!H:H,"Economic Development",Records!Z:Z,1.5)+COUNTIFS(Records!I:I,"Economic Development",Records!Z:Z,1.5)+COUNTIFS(Records!J:J,"Economic Development",Records!Z:Z,1.5)</f>
        <v>2</v>
      </c>
      <c r="G3" s="42">
        <f>COUNTIFS(Records!F:F,"Economic Development",Records!Z:Z,2)+COUNTIFS(Records!G:G,"Economic Development",Records!Z:Z,2)+COUNTIFS(Records!H:H,"Economic Development",Records!Z:Z,2)+COUNTIFS(Records!I:I,"Economic Development",Records!Z:Z,2)+COUNTIFS(Records!J:J,"Economic Development",Records!Z:Z,2)</f>
        <v>4</v>
      </c>
      <c r="H3" s="42">
        <f>COUNTIFS(Records!F:F,"Economic Development",Records!Z:Z,2.5)+COUNTIFS(Records!G:G,"Economic Development",Records!Z:Z,2.5)+COUNTIFS(Records!H:H,"Economic Development",Records!Z:Z,2.5)+COUNTIFS(Records!I:I,"Economic Development",Records!Z:Z,2.5)+COUNTIFS(Records!J:J,"Economic Development",Records!Z:Z,2.5)</f>
        <v>0</v>
      </c>
      <c r="I3" s="49">
        <f>COUNTIFS(Records!F:F,"Economic Development",Records!Z:Z,3)+COUNTIFS(Records!G:G,"Economic Development",Records!Z:Z,3)+COUNTIFS(Records!H:H,"Economic Development",Records!Z:Z,3)+COUNTIFS(Records!I:I,"Economic Development",Records!Z:Z,3)+COUNTIFS(Records!J:J,"Economic Development",Records!Z:Z,3)</f>
        <v>0</v>
      </c>
      <c r="K3" s="59"/>
      <c r="L3" s="58"/>
      <c r="M3" s="58"/>
      <c r="N3" s="58"/>
      <c r="O3" s="58"/>
      <c r="P3" s="58"/>
      <c r="Q3" s="58"/>
      <c r="R3" s="58"/>
      <c r="S3" s="58"/>
      <c r="T3" s="58"/>
      <c r="U3" s="58"/>
      <c r="V3" s="58"/>
      <c r="W3" s="58"/>
      <c r="X3" s="58"/>
      <c r="Y3" s="58"/>
      <c r="Z3" s="58"/>
      <c r="AA3" s="58"/>
      <c r="AB3" s="58"/>
      <c r="AC3" s="58"/>
      <c r="AD3" s="58"/>
      <c r="AE3" s="58"/>
    </row>
    <row r="4" spans="1:31" x14ac:dyDescent="0.25">
      <c r="A4" s="50" t="s">
        <v>187</v>
      </c>
      <c r="B4" s="43">
        <f>COUNTIF(Records!F:J,"Economy")</f>
        <v>55</v>
      </c>
      <c r="C4" s="44">
        <f>COUNTIFS(Records!F:F,"Economy",Records!Z:Z,0)+COUNTIFS(Records!G:G,"Economy",Records!Z:Z,0)+COUNTIFS(Records!H:H,"Economy",Records!Z:Z,0)+COUNTIFS(Records!I:I,"Economy",Records!Z:Z,0)+COUNTIFS(Records!J:J,"Economy",Records!Z:Z,0)</f>
        <v>10</v>
      </c>
      <c r="D4" s="44">
        <f>COUNTIFS(Records!F:F,"Economy",Records!Z:Z,0.5)+COUNTIFS(Records!G:G,"Economy",Records!Z:Z,0.5)+COUNTIFS(Records!H:H,"Economy",Records!Z:Z,0.5)+COUNTIFS(Records!I:I,"Economy",Records!Z:Z,0.5)+COUNTIFS(Records!J:J,"Economy",Records!Z:Z,0.5)</f>
        <v>17</v>
      </c>
      <c r="E4" s="44">
        <f>COUNTIFS(Records!F:F,"Economy",Records!Z:Z,1)+COUNTIFS(Records!G:G,"Economy",Records!Z:Z,1)+COUNTIFS(Records!H:H,"Economy",Records!Z:Z,1)+COUNTIFS(Records!I:I,"Economy",Records!Z:Z,1)+COUNTIFS(Records!J:J,"Economy",Records!Z:Z,1)</f>
        <v>19</v>
      </c>
      <c r="F4" s="44">
        <f>COUNTIFS(Records!F:F,"Economy",Records!Z:Z,1.5)+COUNTIFS(Records!G:G,"Economy",Records!Z:Z,1.5)+COUNTIFS(Records!H:H,"Economy",Records!Z:Z,1.5)+COUNTIFS(Records!I:I,"Economy",Records!Z:Z,1.5)+COUNTIFS(Records!J:J,"Economy",Records!Z:Z,1.5)</f>
        <v>6</v>
      </c>
      <c r="G4" s="44">
        <f>COUNTIFS(Records!F:F,"Economy",Records!Z:Z,2)+COUNTIFS(Records!G:G,"Economy",Records!Z:Z,2)+COUNTIFS(Records!H:H,"Economy",Records!Z:Z,2)+COUNTIFS(Records!I:I,"Economy",Records!Z:Z,2)+COUNTIFS(Records!J:J,"Economy",Records!Z:Z,2)</f>
        <v>2</v>
      </c>
      <c r="H4" s="44">
        <f>COUNTIFS(Records!F:F,"Economy",Records!Z:Z,2.5)+COUNTIFS(Records!G:G,"Economy",Records!Z:Z,2.5)+COUNTIFS(Records!H:H,"Economy",Records!Z:Z,2.5)+COUNTIFS(Records!I:I,"Economy",Records!Z:Z,2.5)+COUNTIFS(Records!J:J,"Economy",Records!Z:Z,2.5)</f>
        <v>1</v>
      </c>
      <c r="I4" s="51">
        <f>COUNTIFS(Records!F:F,"Economy",Records!Z:Z,3)+COUNTIFS(Records!G:G,"Economy",Records!Z:Z,3)+COUNTIFS(Records!H:H,"Economy",Records!Z:Z,3)+COUNTIFS(Records!I:I,"Economy",Records!Z:Z,3)+COUNTIFS(Records!J:J,"Economy",Records!Z:Z,3)</f>
        <v>0</v>
      </c>
      <c r="K4" s="59"/>
      <c r="AE4" s="58"/>
    </row>
    <row r="5" spans="1:31" x14ac:dyDescent="0.25">
      <c r="A5" s="50" t="s">
        <v>21</v>
      </c>
      <c r="B5" s="43">
        <f>COUNTIF(Records!F:J,"Environment")</f>
        <v>186</v>
      </c>
      <c r="C5" s="44">
        <f>COUNTIFS(Records!F:F,"Environment",Records!Z:Z,0)+COUNTIFS(Records!G:G,"Environment",Records!Z:Z,0)+COUNTIFS(Records!H:H,"Environment",Records!Z:Z,0)+COUNTIFS(Records!I:I,"Environment",Records!Z:Z,0)+COUNTIFS(Records!J:J,"Environment",Records!Z:Z,0)</f>
        <v>40</v>
      </c>
      <c r="D5" s="44">
        <f>COUNTIFS(Records!F:F,"Environment",Records!Z:Z,0.5)+COUNTIFS(Records!G:G,"Environment",Records!Z:Z,0.5)+COUNTIFS(Records!H:H,"Environment",Records!Z:Z,0.5)+COUNTIFS(Records!I:I,"Environment",Records!Z:Z,0.5)+COUNTIFS(Records!J:J,"Environment",Records!Z:Z,0.5)</f>
        <v>76</v>
      </c>
      <c r="E5" s="44">
        <f>COUNTIFS(Records!F:F,"Environment",Records!Z:Z,1)+COUNTIFS(Records!G:G,"Environment",Records!Z:Z,1)+COUNTIFS(Records!H:H,"Environment",Records!Z:Z,1)+COUNTIFS(Records!I:I,"Environment",Records!Z:Z,1)+COUNTIFS(Records!J:J,"Environment",Records!Z:Z,1)</f>
        <v>45</v>
      </c>
      <c r="F5" s="44">
        <f>COUNTIFS(Records!F:F,"Environment",Records!Z:Z,1.5)+COUNTIFS(Records!G:G,"Environment",Records!Z:Z,1.5)+COUNTIFS(Records!H:H,"Environment",Records!Z:Z,1.5)+COUNTIFS(Records!I:I,"Environment",Records!Z:Z,1.5)+COUNTIFS(Records!J:J,"Environment",Records!Z:Z,1.5)</f>
        <v>15</v>
      </c>
      <c r="G5" s="44">
        <f>COUNTIFS(Records!F:F,"Environment",Records!Z:Z,2)+COUNTIFS(Records!G:G,"Environment",Records!Z:Z,2)+COUNTIFS(Records!H:H,"Environment",Records!Z:Z,2)+COUNTIFS(Records!I:I,"Environment",Records!Z:Z,2)+COUNTIFS(Records!J:J,"Environment",Records!Z:Z,2)</f>
        <v>8</v>
      </c>
      <c r="H5" s="44">
        <f>COUNTIFS(Records!F:F,"Environment",Records!Z:Z,2.5)+COUNTIFS(Records!G:G,"Environment",Records!Z:Z,2.5)+COUNTIFS(Records!H:H,"Environment",Records!Z:Z,2.5)+COUNTIFS(Records!I:I,"Environment",Records!Z:Z,2.5)+COUNTIFS(Records!J:J,"Environment",Records!Z:Z,2.5)</f>
        <v>1</v>
      </c>
      <c r="I5" s="51">
        <f>COUNTIFS(Records!F:F,"Environment",Records!Z:Z,3)+COUNTIFS(Records!G:G,"Environment",Records!Z:Z,3)+COUNTIFS(Records!H:H,"Environment",Records!Z:Z,3)+COUNTIFS(Records!I:I,"Environment",Records!Z:Z,3)+COUNTIFS(Records!J:J,"Environment",Records!Z:Z,3)</f>
        <v>1</v>
      </c>
      <c r="AE5" s="58"/>
    </row>
    <row r="6" spans="1:31" x14ac:dyDescent="0.25">
      <c r="A6" s="50" t="s">
        <v>56</v>
      </c>
      <c r="B6" s="43">
        <f>COUNTIF(Records!F:J,"Equity")</f>
        <v>50</v>
      </c>
      <c r="C6" s="44">
        <f>COUNTIFS(Records!F:F,"Equity",Records!Z:Z,0)+COUNTIFS(Records!G:G,"Equity",Records!Z:Z,0)+COUNTIFS(Records!H:H,"Equity",Records!Z:Z,0)+COUNTIFS(Records!I:I,"Equity",Records!Z:Z,0)+COUNTIFS(Records!J:J,"Equity",Records!Z:Z,0)</f>
        <v>11</v>
      </c>
      <c r="D6" s="44">
        <f>COUNTIFS(Records!F:F,"Equity",Records!Z:Z,0.5)+COUNTIFS(Records!G:G,"Equity",Records!Z:Z,0.5)+COUNTIFS(Records!H:H,"Equity",Records!Z:Z,0.5)+COUNTIFS(Records!I:I,"Equity",Records!Z:Z,0.5)+COUNTIFS(Records!J:J,"Equity",Records!Z:Z,0.5)</f>
        <v>12</v>
      </c>
      <c r="E6" s="44">
        <f>COUNTIFS(Records!F:F,"Equity",Records!Z:Z,1)+COUNTIFS(Records!G:G,"Equity",Records!Z:Z,1)+COUNTIFS(Records!H:H,"Equity",Records!Z:Z,1)+COUNTIFS(Records!I:I,"Equity",Records!Z:Z,1)+COUNTIFS(Records!J:J,"Equity",Records!Z:Z,1)</f>
        <v>12</v>
      </c>
      <c r="F6" s="44">
        <f>COUNTIFS(Records!F:F,"Equity",Records!Z:Z,1.5)+COUNTIFS(Records!G:G,"Equity",Records!Z:Z,1.5)+COUNTIFS(Records!H:H,"Equity",Records!Z:Z,1.5)+COUNTIFS(Records!I:I,"Equity",Records!Z:Z,1.5)+COUNTIFS(Records!J:J,"Equity",Records!Z:Z,1.5)</f>
        <v>8</v>
      </c>
      <c r="G6" s="44">
        <f>COUNTIFS(Records!F:F,"Equity",Records!Z:Z,2)+COUNTIFS(Records!G:G,"Equity",Records!Z:Z,2)+COUNTIFS(Records!H:H,"Equity",Records!Z:Z,2)+COUNTIFS(Records!I:I,"Equity",Records!Z:Z,2)+COUNTIFS(Records!J:J,"Equity",Records!Z:Z,2)</f>
        <v>6</v>
      </c>
      <c r="H6" s="44">
        <f>COUNTIFS(Records!F:F,"Equity",Records!Z:Z,2.5)+COUNTIFS(Records!G:G,"Equity",Records!Z:Z,2.5)+COUNTIFS(Records!H:H,"Equity",Records!Z:Z,2.5)+COUNTIFS(Records!I:I,"Equity",Records!Z:Z,2.5)+COUNTIFS(Records!J:J,"Equity",Records!Z:Z,2.5)</f>
        <v>1</v>
      </c>
      <c r="I6" s="51">
        <f>COUNTIFS(Records!F:F,"Equity",Records!Z:Z,3)+COUNTIFS(Records!G:G,"Equity",Records!Z:Z,3)+COUNTIFS(Records!H:H,"Equity",Records!Z:Z,3)+COUNTIFS(Records!I:I,"Equity",Records!Z:Z,3)+COUNTIFS(Records!J:J,"Equity",Records!Z:Z,3)</f>
        <v>0</v>
      </c>
      <c r="AE6" s="58"/>
    </row>
    <row r="7" spans="1:31" x14ac:dyDescent="0.25">
      <c r="A7" s="50" t="s">
        <v>45</v>
      </c>
      <c r="B7" s="43">
        <f>COUNTIF(Records!F:J,"Society")</f>
        <v>44</v>
      </c>
      <c r="C7" s="44">
        <f>COUNTIFS(Records!F:F,"Society",Records!Z:Z,0)+COUNTIFS(Records!G:G,"Society",Records!Z:Z,0)+COUNTIFS(Records!H:H,"Society",Records!Z:Z,0)+COUNTIFS(Records!I:I,"Society",Records!Z:Z,0)+COUNTIFS(Records!J:J,"Society",Records!Z:Z,0)</f>
        <v>9</v>
      </c>
      <c r="D7" s="44">
        <f>COUNTIFS(Records!F:F,"Society",Records!Z:Z,0.5)+COUNTIFS(Records!G:G,"Society",Records!Z:Z,0.5)+COUNTIFS(Records!H:H,"Society",Records!Z:Z,0.5)+COUNTIFS(Records!I:I,"Society",Records!Z:Z,0.5)+COUNTIFS(Records!J:J,"Society",Records!Z:Z,0.5)</f>
        <v>16</v>
      </c>
      <c r="E7" s="44">
        <f>COUNTIFS(Records!F:F,"Society",Records!Z:Z,1)+COUNTIFS(Records!G:G,"Society",Records!Z:Z,1)+COUNTIFS(Records!H:H,"Society",Records!Z:Z,1)+COUNTIFS(Records!I:I,"Society",Records!Z:Z,1)+COUNTIFS(Records!J:J,"Society",Records!Z:Z,1)</f>
        <v>13</v>
      </c>
      <c r="F7" s="44">
        <f>COUNTIFS(Records!F:F,"Society",Records!Z:Z,1.5)+COUNTIFS(Records!G:G,"Society",Records!Z:Z,1.5)+COUNTIFS(Records!H:H,"Society",Records!Z:Z,1.5)+COUNTIFS(Records!I:I,"Society",Records!Z:Z,1.5)+COUNTIFS(Records!J:J,"Society",Records!Z:Z,1.5)</f>
        <v>3</v>
      </c>
      <c r="G7" s="44">
        <f>COUNTIFS(Records!F:F,"Society",Records!Z:Z,2)+COUNTIFS(Records!G:G,"Society",Records!Z:Z,2)+COUNTIFS(Records!H:H,"Society",Records!Z:Z,2)+COUNTIFS(Records!I:I,"Society",Records!Z:Z,2)+COUNTIFS(Records!J:J,"Society",Records!Z:Z,2)</f>
        <v>1</v>
      </c>
      <c r="H7" s="44">
        <f>COUNTIFS(Records!F:F,"Society",Records!Z:Z,2.5)+COUNTIFS(Records!G:G,"Society",Records!Z:Z,2.5)+COUNTIFS(Records!H:H,"Society",Records!Z:Z,2.5)+COUNTIFS(Records!I:I,"Society",Records!Z:Z,2.5)+COUNTIFS(Records!J:J,"Society",Records!Z:Z,2.5)</f>
        <v>1</v>
      </c>
      <c r="I7" s="51">
        <f>COUNTIFS(Records!F:F,"Society",Records!Z:Z,3)+COUNTIFS(Records!G:G,"Society",Records!Z:Z,3)+COUNTIFS(Records!H:H,"Society",Records!Z:Z,3)+COUNTIFS(Records!I:I,"Society",Records!Z:Z,3)+COUNTIFS(Records!J:J,"Society",Records!Z:Z,3)</f>
        <v>1</v>
      </c>
      <c r="AE7" s="58"/>
    </row>
    <row r="8" spans="1:31" x14ac:dyDescent="0.25">
      <c r="A8" s="50" t="s">
        <v>55</v>
      </c>
      <c r="B8" s="43">
        <f>COUNTIF(Records!F:J,"Sustainability")</f>
        <v>30</v>
      </c>
      <c r="C8" s="44">
        <f>COUNTIFS(Records!F:F,"Sustainability",Records!Z:Z,0)+COUNTIFS(Records!G:G,"Sustainability",Records!Z:Z,0)+COUNTIFS(Records!H:H,"Sustainability",Records!Z:Z,0)+COUNTIFS(Records!I:I,"Sustainability",Records!Z:Z,0)+COUNTIFS(Records!J:J,"Sustainability",Records!Z:Z,0)</f>
        <v>6</v>
      </c>
      <c r="D8" s="44">
        <f>COUNTIFS(Records!F:F,"Sustainability",Records!Z:Z,0.5)+COUNTIFS(Records!G:G,"Sustainability",Records!Z:Z,0.5)+COUNTIFS(Records!H:H,"Sustainability",Records!Z:Z,0.5)+COUNTIFS(Records!I:I,"Sustainability",Records!Z:Z,0.5)+COUNTIFS(Records!J:J,"Sustainability",Records!Z:Z,0.5)</f>
        <v>8</v>
      </c>
      <c r="E8" s="44">
        <f>COUNTIFS(Records!F:F,"Sustainability",Records!Z:Z,1)+COUNTIFS(Records!G:G,"Sustainability",Records!Z:Z,1)+COUNTIFS(Records!H:H,"Sustainability",Records!Z:Z,1)+COUNTIFS(Records!I:I,"Sustainability",Records!Z:Z,1)+COUNTIFS(Records!J:J,"Sustainability",Records!Z:Z,1)</f>
        <v>9</v>
      </c>
      <c r="F8" s="44">
        <f>COUNTIFS(Records!F:F,"Sustainability",Records!Z:Z,1.5)+COUNTIFS(Records!G:G,"Sustainability",Records!Z:Z,1.5)+COUNTIFS(Records!H:H,"Sustainability",Records!Z:Z,1.5)+COUNTIFS(Records!I:I,"Sustainability",Records!Z:Z,1.5)+COUNTIFS(Records!J:J,"Sustainability",Records!Z:Z,1.5)</f>
        <v>4</v>
      </c>
      <c r="G8" s="44">
        <f>COUNTIFS(Records!F:F,"Sustainability",Records!Z:Z,2)+COUNTIFS(Records!G:G,"Sustainability",Records!Z:Z,2)+COUNTIFS(Records!H:H,"Sustainability",Records!Z:Z,2)+COUNTIFS(Records!I:I,"Sustainability",Records!Z:Z,2)+COUNTIFS(Records!J:J,"Sustainability",Records!Z:Z,2)</f>
        <v>2</v>
      </c>
      <c r="H8" s="44">
        <f>COUNTIFS(Records!F:F,"Sustainability",Records!Z:Z,2.5)+COUNTIFS(Records!G:G,"Sustainability",Records!Z:Z,2.5)+COUNTIFS(Records!H:H,"Sustainability",Records!Z:Z,2.5)+COUNTIFS(Records!I:I,"Sustainability",Records!Z:Z,2.5)+COUNTIFS(Records!J:J,"Sustainability",Records!Z:Z,2.5)</f>
        <v>0</v>
      </c>
      <c r="I8" s="51">
        <f>COUNTIFS(Records!F:F,"Sustainability",Records!Z:Z,3)+COUNTIFS(Records!G:G,"Sustainability",Records!Z:Z,3)+COUNTIFS(Records!H:H,"Sustainability",Records!Z:Z,3)+COUNTIFS(Records!I:I,"Sustainability",Records!Z:Z,3)+COUNTIFS(Records!J:J,"Sustainability",Records!Z:Z,3)</f>
        <v>1</v>
      </c>
      <c r="AE8" s="58"/>
    </row>
    <row r="9" spans="1:31" ht="15.75" thickBot="1" x14ac:dyDescent="0.3">
      <c r="A9" s="52" t="s">
        <v>54</v>
      </c>
      <c r="B9" s="53">
        <f>COUNTIF(Records!F:J,"Sustainable")</f>
        <v>56</v>
      </c>
      <c r="C9" s="54">
        <f>COUNTIFS(Records!F:F,"Sustainable",Records!Z:Z,0)+COUNTIFS(Records!G:G,"Sustainable",Records!Z:Z,0)+COUNTIFS(Records!H:H,"Sustainable",Records!Z:Z,0)+COUNTIFS(Records!I:I,"Sustainable",Records!Z:Z,0)+COUNTIFS(Records!J:J,"Sustainable",Records!Z:Z,0)</f>
        <v>8</v>
      </c>
      <c r="D9" s="54">
        <f>COUNTIFS(Records!F:F,"Sustainable",Records!Z:Z,0.5)+COUNTIFS(Records!G:G,"Sustainable",Records!Z:Z,0.5)+COUNTIFS(Records!H:H,"Sustainable",Records!Z:Z,0.5)+COUNTIFS(Records!I:I,"Sustainable",Records!Z:Z,0.5)+COUNTIFS(Records!J:J,"Sustainable",Records!Z:Z,0.5)</f>
        <v>15</v>
      </c>
      <c r="E9" s="54">
        <f>COUNTIFS(Records!F:F,"Sustainable",Records!Z:Z,1)+COUNTIFS(Records!G:G,"Sustainable",Records!Z:Z,1)+COUNTIFS(Records!H:H,"Sustainable",Records!Z:Z,1)+COUNTIFS(Records!I:I,"Sustainable",Records!Z:Z,1)+COUNTIFS(Records!J:J,"Sustainable",Records!Z:Z,1)</f>
        <v>23</v>
      </c>
      <c r="F9" s="54">
        <f>COUNTIFS(Records!F:F,"Sustainable",Records!Z:Z,1.5)+COUNTIFS(Records!G:G,"Sustainable",Records!Z:Z,1.5)+COUNTIFS(Records!H:H,"Sustainable",Records!Z:Z,1.5)+COUNTIFS(Records!I:I,"Sustainable",Records!Z:Z,1.5)+COUNTIFS(Records!J:J,"Sustainable",Records!Z:Z,1.5)</f>
        <v>4</v>
      </c>
      <c r="G9" s="54">
        <f>COUNTIFS(Records!F:F,"Sustainable",Records!Z:Z,2)+COUNTIFS(Records!G:G,"Sustainable",Records!Z:Z,2)+COUNTIFS(Records!H:H,"Sustainable",Records!Z:Z,2)+COUNTIFS(Records!I:I,"Sustainable",Records!Z:Z,2)+COUNTIFS(Records!J:J,"Sustainable",Records!Z:Z,2)</f>
        <v>5</v>
      </c>
      <c r="H9" s="54">
        <f>COUNTIFS(Records!F:F,"Sustainable",Records!Z:Z,2.5)+COUNTIFS(Records!G:G,"Sustainable",Records!Z:Z,2.5)+COUNTIFS(Records!H:H,"Sustainable",Records!Z:Z,2.5)+COUNTIFS(Records!I:I,"Sustainable",Records!Z:Z,2.5)+COUNTIFS(Records!J:J,"Sustainable",Records!Z:Z,2.5)</f>
        <v>0</v>
      </c>
      <c r="I9" s="55">
        <f>COUNTIFS(Records!F:F,"Sustainable",Records!Z:Z,3)+COUNTIFS(Records!G:G,"Sustainable",Records!Z:Z,3)+COUNTIFS(Records!H:H,"Sustainable",Records!Z:Z,3)+COUNTIFS(Records!I:I,"Sustainable",Records!Z:Z,3)+COUNTIFS(Records!J:J,"Sustainable",Records!Z:Z,3)</f>
        <v>1</v>
      </c>
      <c r="AE9" s="58"/>
    </row>
    <row r="10" spans="1:31" x14ac:dyDescent="0.25">
      <c r="AE10" s="58"/>
    </row>
    <row r="11" spans="1:31" x14ac:dyDescent="0.25">
      <c r="AE11" s="58"/>
    </row>
    <row r="12" spans="1:31" x14ac:dyDescent="0.25">
      <c r="AE12" s="58"/>
    </row>
    <row r="13" spans="1:31" x14ac:dyDescent="0.25">
      <c r="AE13" s="58"/>
    </row>
    <row r="14" spans="1:31" x14ac:dyDescent="0.25">
      <c r="AE14" s="58"/>
    </row>
    <row r="15" spans="1:31" x14ac:dyDescent="0.25">
      <c r="AE15" s="58"/>
    </row>
    <row r="16" spans="1:31" x14ac:dyDescent="0.25">
      <c r="AE16" s="58"/>
    </row>
    <row r="17" spans="31:31" x14ac:dyDescent="0.25">
      <c r="AE17" s="58"/>
    </row>
    <row r="18" spans="31:31" x14ac:dyDescent="0.25">
      <c r="AE18" s="58"/>
    </row>
    <row r="19" spans="31:31" x14ac:dyDescent="0.25">
      <c r="AE19" s="58"/>
    </row>
    <row r="20" spans="31:31" x14ac:dyDescent="0.25">
      <c r="AE20" s="58"/>
    </row>
    <row r="21" spans="31:31" x14ac:dyDescent="0.25">
      <c r="AE21" s="58"/>
    </row>
    <row r="22" spans="31:31" x14ac:dyDescent="0.25">
      <c r="AE22" s="58"/>
    </row>
    <row r="23" spans="31:31" x14ac:dyDescent="0.25">
      <c r="AE23" s="58"/>
    </row>
    <row r="24" spans="31:31" x14ac:dyDescent="0.25">
      <c r="AE24" s="58"/>
    </row>
    <row r="25" spans="31:31" x14ac:dyDescent="0.25">
      <c r="AE25" s="58"/>
    </row>
    <row r="26" spans="31:31" x14ac:dyDescent="0.25">
      <c r="AE26" s="58"/>
    </row>
    <row r="27" spans="31:31" x14ac:dyDescent="0.25">
      <c r="AE27" s="58"/>
    </row>
    <row r="28" spans="31:31" x14ac:dyDescent="0.25">
      <c r="AE28" s="58"/>
    </row>
    <row r="29" spans="31:31" x14ac:dyDescent="0.25">
      <c r="AE29" s="58"/>
    </row>
    <row r="30" spans="31:31" x14ac:dyDescent="0.25">
      <c r="AE30" s="58"/>
    </row>
    <row r="31" spans="31:31" x14ac:dyDescent="0.25">
      <c r="AE31" s="58"/>
    </row>
    <row r="32" spans="31:31" x14ac:dyDescent="0.25">
      <c r="AE32" s="58"/>
    </row>
    <row r="33" spans="31:31" x14ac:dyDescent="0.25">
      <c r="AE33" s="58"/>
    </row>
    <row r="34" spans="31:31" x14ac:dyDescent="0.25">
      <c r="AE34" s="58"/>
    </row>
    <row r="35" spans="31:31" x14ac:dyDescent="0.25">
      <c r="AE35" s="58"/>
    </row>
    <row r="36" spans="31:31" x14ac:dyDescent="0.25">
      <c r="AE36" s="58"/>
    </row>
    <row r="37" spans="31:31" x14ac:dyDescent="0.25">
      <c r="AE37" s="58"/>
    </row>
    <row r="38" spans="31:31" x14ac:dyDescent="0.25">
      <c r="AE38" s="58"/>
    </row>
    <row r="39" spans="31:31" x14ac:dyDescent="0.25">
      <c r="AE39" s="58"/>
    </row>
    <row r="40" spans="31:31" x14ac:dyDescent="0.25">
      <c r="AE40" s="58"/>
    </row>
    <row r="41" spans="31:31" x14ac:dyDescent="0.25">
      <c r="AE41" s="58"/>
    </row>
    <row r="42" spans="31:31" x14ac:dyDescent="0.25">
      <c r="AE42" s="58"/>
    </row>
    <row r="43" spans="31:31" x14ac:dyDescent="0.25">
      <c r="AE43" s="58"/>
    </row>
  </sheetData>
  <mergeCells count="2">
    <mergeCell ref="C1:I1"/>
    <mergeCell ref="B1:B2"/>
  </mergeCells>
  <pageMargins left="0.7" right="0.7" top="0.75" bottom="0.75" header="0.3" footer="0.3"/>
  <pageSetup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F18"/>
  <sheetViews>
    <sheetView workbookViewId="0">
      <selection activeCell="C26" sqref="C26"/>
    </sheetView>
  </sheetViews>
  <sheetFormatPr defaultRowHeight="15" x14ac:dyDescent="0.25"/>
  <cols>
    <col min="1" max="1" width="44.5703125" customWidth="1"/>
    <col min="2" max="2" width="53.7109375" style="22" customWidth="1"/>
    <col min="3" max="3" width="4.140625" customWidth="1"/>
    <col min="4" max="4" width="4.28515625" customWidth="1"/>
    <col min="5" max="5" width="3.42578125" customWidth="1"/>
    <col min="6" max="6" width="4.42578125" customWidth="1"/>
  </cols>
  <sheetData>
    <row r="1" spans="1:6" ht="14.45" x14ac:dyDescent="0.3">
      <c r="A1" s="105"/>
      <c r="B1" s="106"/>
      <c r="C1" s="127" t="s">
        <v>186</v>
      </c>
      <c r="D1" s="127"/>
      <c r="E1" s="127"/>
      <c r="F1" s="127"/>
    </row>
    <row r="2" spans="1:6" thickBot="1" x14ac:dyDescent="0.35">
      <c r="A2" s="107" t="s">
        <v>1212</v>
      </c>
      <c r="B2" s="108" t="s">
        <v>1213</v>
      </c>
      <c r="C2" s="74" t="s">
        <v>1221</v>
      </c>
      <c r="D2" s="74" t="s">
        <v>1222</v>
      </c>
      <c r="E2" s="74" t="s">
        <v>1223</v>
      </c>
      <c r="F2" s="74" t="s">
        <v>188</v>
      </c>
    </row>
    <row r="3" spans="1:6" ht="24" customHeight="1" x14ac:dyDescent="0.25">
      <c r="A3" s="128" t="s">
        <v>102</v>
      </c>
      <c r="B3" s="75" t="s">
        <v>352</v>
      </c>
      <c r="C3" s="77">
        <v>1</v>
      </c>
      <c r="D3" s="77">
        <v>1</v>
      </c>
      <c r="E3" s="77">
        <v>0.5</v>
      </c>
      <c r="F3" s="109">
        <v>2.5</v>
      </c>
    </row>
    <row r="4" spans="1:6" ht="24" customHeight="1" x14ac:dyDescent="0.25">
      <c r="A4" s="129"/>
      <c r="B4" s="79" t="s">
        <v>691</v>
      </c>
      <c r="C4" s="81">
        <v>1</v>
      </c>
      <c r="D4" s="81">
        <v>1</v>
      </c>
      <c r="E4" s="81">
        <v>0.5</v>
      </c>
      <c r="F4" s="110">
        <v>2.5</v>
      </c>
    </row>
    <row r="5" spans="1:6" ht="24" customHeight="1" x14ac:dyDescent="0.25">
      <c r="A5" s="130"/>
      <c r="B5" s="91" t="s">
        <v>104</v>
      </c>
      <c r="C5" s="85">
        <v>1</v>
      </c>
      <c r="D5" s="85">
        <v>0.5</v>
      </c>
      <c r="E5" s="85">
        <v>0.5</v>
      </c>
      <c r="F5" s="111">
        <v>2</v>
      </c>
    </row>
    <row r="6" spans="1:6" ht="12" customHeight="1" x14ac:dyDescent="0.25">
      <c r="A6" s="131" t="s">
        <v>165</v>
      </c>
      <c r="B6" s="92" t="s">
        <v>567</v>
      </c>
      <c r="C6" s="89">
        <v>0.5</v>
      </c>
      <c r="D6" s="89">
        <v>1</v>
      </c>
      <c r="E6" s="89">
        <v>1</v>
      </c>
      <c r="F6" s="112">
        <v>2.5</v>
      </c>
    </row>
    <row r="7" spans="1:6" ht="24" customHeight="1" x14ac:dyDescent="0.25">
      <c r="A7" s="130"/>
      <c r="B7" s="91" t="s">
        <v>166</v>
      </c>
      <c r="C7" s="85">
        <v>0.5</v>
      </c>
      <c r="D7" s="85">
        <v>0.5</v>
      </c>
      <c r="E7" s="85">
        <v>1</v>
      </c>
      <c r="F7" s="111">
        <v>2</v>
      </c>
    </row>
    <row r="8" spans="1:6" ht="24" customHeight="1" x14ac:dyDescent="0.25">
      <c r="A8" s="131" t="s">
        <v>267</v>
      </c>
      <c r="B8" s="92" t="s">
        <v>292</v>
      </c>
      <c r="C8" s="89">
        <v>1</v>
      </c>
      <c r="D8" s="89">
        <v>0.5</v>
      </c>
      <c r="E8" s="89">
        <v>0.5</v>
      </c>
      <c r="F8" s="112">
        <v>2</v>
      </c>
    </row>
    <row r="9" spans="1:6" ht="12" customHeight="1" x14ac:dyDescent="0.25">
      <c r="A9" s="130"/>
      <c r="B9" s="91" t="s">
        <v>268</v>
      </c>
      <c r="C9" s="85">
        <v>0.5</v>
      </c>
      <c r="D9" s="85">
        <v>1</v>
      </c>
      <c r="E9" s="85">
        <v>0.5</v>
      </c>
      <c r="F9" s="111">
        <v>2</v>
      </c>
    </row>
    <row r="10" spans="1:6" ht="24" customHeight="1" x14ac:dyDescent="0.3">
      <c r="A10" s="93" t="s">
        <v>86</v>
      </c>
      <c r="B10" s="94" t="s">
        <v>84</v>
      </c>
      <c r="C10" s="96">
        <v>1</v>
      </c>
      <c r="D10" s="96">
        <v>1</v>
      </c>
      <c r="E10" s="96">
        <v>1</v>
      </c>
      <c r="F10" s="113">
        <v>3</v>
      </c>
    </row>
    <row r="11" spans="1:6" ht="12" customHeight="1" x14ac:dyDescent="0.25">
      <c r="A11" s="93" t="s">
        <v>404</v>
      </c>
      <c r="B11" s="94" t="s">
        <v>401</v>
      </c>
      <c r="C11" s="96">
        <v>0.5</v>
      </c>
      <c r="D11" s="96">
        <v>0.5</v>
      </c>
      <c r="E11" s="96">
        <v>1</v>
      </c>
      <c r="F11" s="113">
        <v>2</v>
      </c>
    </row>
    <row r="12" spans="1:6" ht="12" customHeight="1" x14ac:dyDescent="0.25">
      <c r="A12" s="93" t="s">
        <v>909</v>
      </c>
      <c r="B12" s="94" t="s">
        <v>1156</v>
      </c>
      <c r="C12" s="96">
        <v>0.5</v>
      </c>
      <c r="D12" s="96">
        <v>1</v>
      </c>
      <c r="E12" s="96">
        <v>0.5</v>
      </c>
      <c r="F12" s="113">
        <v>2</v>
      </c>
    </row>
    <row r="13" spans="1:6" ht="24" customHeight="1" x14ac:dyDescent="0.25">
      <c r="A13" s="93" t="s">
        <v>394</v>
      </c>
      <c r="B13" s="94" t="s">
        <v>1085</v>
      </c>
      <c r="C13" s="96">
        <v>0.5</v>
      </c>
      <c r="D13" s="96">
        <v>1</v>
      </c>
      <c r="E13" s="96">
        <v>0.5</v>
      </c>
      <c r="F13" s="113">
        <v>2</v>
      </c>
    </row>
    <row r="14" spans="1:6" ht="12" customHeight="1" x14ac:dyDescent="0.25">
      <c r="A14" s="93" t="s">
        <v>285</v>
      </c>
      <c r="B14" s="94" t="s">
        <v>851</v>
      </c>
      <c r="C14" s="96">
        <v>1</v>
      </c>
      <c r="D14" s="96">
        <v>0.5</v>
      </c>
      <c r="E14" s="96">
        <v>0.5</v>
      </c>
      <c r="F14" s="113">
        <v>2</v>
      </c>
    </row>
    <row r="15" spans="1:6" ht="12" customHeight="1" x14ac:dyDescent="0.25">
      <c r="A15" s="93" t="s">
        <v>288</v>
      </c>
      <c r="B15" s="94" t="s">
        <v>425</v>
      </c>
      <c r="C15" s="96">
        <v>0.5</v>
      </c>
      <c r="D15" s="96">
        <v>0.5</v>
      </c>
      <c r="E15" s="96">
        <v>1</v>
      </c>
      <c r="F15" s="113">
        <v>2</v>
      </c>
    </row>
    <row r="16" spans="1:6" ht="12" customHeight="1" x14ac:dyDescent="0.25">
      <c r="A16" s="93" t="s">
        <v>687</v>
      </c>
      <c r="B16" s="94" t="s">
        <v>985</v>
      </c>
      <c r="C16" s="96">
        <v>0.5</v>
      </c>
      <c r="D16" s="96">
        <v>0.5</v>
      </c>
      <c r="E16" s="96">
        <v>1</v>
      </c>
      <c r="F16" s="113">
        <v>2</v>
      </c>
    </row>
    <row r="17" spans="1:6" ht="12" customHeight="1" x14ac:dyDescent="0.25">
      <c r="A17" s="93" t="s">
        <v>525</v>
      </c>
      <c r="B17" s="94" t="s">
        <v>889</v>
      </c>
      <c r="C17" s="96">
        <v>0.5</v>
      </c>
      <c r="D17" s="96">
        <v>1</v>
      </c>
      <c r="E17" s="96">
        <v>0.5</v>
      </c>
      <c r="F17" s="113">
        <v>2</v>
      </c>
    </row>
    <row r="18" spans="1:6" ht="12" customHeight="1" x14ac:dyDescent="0.25">
      <c r="A18" s="93" t="s">
        <v>868</v>
      </c>
      <c r="B18" s="94" t="s">
        <v>869</v>
      </c>
      <c r="C18" s="96">
        <v>1</v>
      </c>
      <c r="D18" s="96">
        <v>0.5</v>
      </c>
      <c r="E18" s="96">
        <v>0.5</v>
      </c>
      <c r="F18" s="113">
        <v>2</v>
      </c>
    </row>
  </sheetData>
  <mergeCells count="4">
    <mergeCell ref="C1:F1"/>
    <mergeCell ref="A3:A5"/>
    <mergeCell ref="A6:A7"/>
    <mergeCell ref="A8:A9"/>
  </mergeCells>
  <pageMargins left="0.7" right="0.7" top="0.75" bottom="0.75" header="0.3" footer="0.3"/>
  <pageSetup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G21"/>
  <sheetViews>
    <sheetView workbookViewId="0">
      <selection activeCell="D22" sqref="D22"/>
    </sheetView>
  </sheetViews>
  <sheetFormatPr defaultRowHeight="15" x14ac:dyDescent="0.25"/>
  <cols>
    <col min="1" max="1" width="52.7109375" customWidth="1"/>
    <col min="2" max="2" width="52" customWidth="1"/>
    <col min="3" max="3" width="28.7109375" customWidth="1"/>
    <col min="4" max="4" width="9.5703125" customWidth="1"/>
    <col min="5" max="5" width="6.85546875" customWidth="1"/>
    <col min="6" max="6" width="4.85546875" customWidth="1"/>
    <col min="7" max="7" width="4.42578125" customWidth="1"/>
  </cols>
  <sheetData>
    <row r="1" spans="1:7" x14ac:dyDescent="0.25">
      <c r="A1" s="132" t="s">
        <v>1212</v>
      </c>
      <c r="B1" s="132" t="s">
        <v>1213</v>
      </c>
      <c r="C1" s="132" t="s">
        <v>51</v>
      </c>
      <c r="D1" s="127" t="s">
        <v>186</v>
      </c>
      <c r="E1" s="127"/>
      <c r="F1" s="127"/>
      <c r="G1" s="127"/>
    </row>
    <row r="2" spans="1:7" ht="15.75" thickBot="1" x14ac:dyDescent="0.3">
      <c r="A2" s="133"/>
      <c r="B2" s="133"/>
      <c r="C2" s="133"/>
      <c r="D2" s="74" t="s">
        <v>21</v>
      </c>
      <c r="E2" s="74" t="s">
        <v>187</v>
      </c>
      <c r="F2" s="74" t="s">
        <v>56</v>
      </c>
      <c r="G2" s="74" t="s">
        <v>188</v>
      </c>
    </row>
    <row r="3" spans="1:7" s="4" customFormat="1" ht="12" customHeight="1" x14ac:dyDescent="0.25">
      <c r="A3" s="129" t="s">
        <v>118</v>
      </c>
      <c r="B3" s="75" t="s">
        <v>251</v>
      </c>
      <c r="C3" s="76" t="s">
        <v>359</v>
      </c>
      <c r="D3" s="77">
        <v>0.5</v>
      </c>
      <c r="E3" s="77">
        <v>0.5</v>
      </c>
      <c r="F3" s="77">
        <v>0.5</v>
      </c>
      <c r="G3" s="78">
        <v>1.5</v>
      </c>
    </row>
    <row r="4" spans="1:7" s="4" customFormat="1" ht="24" customHeight="1" x14ac:dyDescent="0.25">
      <c r="A4" s="129"/>
      <c r="B4" s="79" t="s">
        <v>971</v>
      </c>
      <c r="C4" s="80" t="s">
        <v>972</v>
      </c>
      <c r="D4" s="81">
        <v>0.5</v>
      </c>
      <c r="E4" s="81">
        <v>0.5</v>
      </c>
      <c r="F4" s="81">
        <v>0.5</v>
      </c>
      <c r="G4" s="82">
        <v>1.5</v>
      </c>
    </row>
    <row r="5" spans="1:7" s="4" customFormat="1" ht="12" customHeight="1" x14ac:dyDescent="0.25">
      <c r="A5" s="130"/>
      <c r="B5" s="83" t="s">
        <v>119</v>
      </c>
      <c r="C5" s="84" t="s">
        <v>120</v>
      </c>
      <c r="D5" s="85">
        <v>0.5</v>
      </c>
      <c r="E5" s="85">
        <v>0.5</v>
      </c>
      <c r="F5" s="85">
        <v>0.5</v>
      </c>
      <c r="G5" s="86">
        <v>1.5</v>
      </c>
    </row>
    <row r="6" spans="1:7" s="4" customFormat="1" ht="12" customHeight="1" x14ac:dyDescent="0.25">
      <c r="A6" s="129" t="s">
        <v>102</v>
      </c>
      <c r="B6" s="87" t="s">
        <v>234</v>
      </c>
      <c r="C6" s="88" t="s">
        <v>235</v>
      </c>
      <c r="D6" s="89">
        <v>1</v>
      </c>
      <c r="E6" s="89">
        <v>0</v>
      </c>
      <c r="F6" s="89">
        <v>1</v>
      </c>
      <c r="G6" s="90">
        <v>2</v>
      </c>
    </row>
    <row r="7" spans="1:7" s="4" customFormat="1" ht="12" customHeight="1" x14ac:dyDescent="0.25">
      <c r="A7" s="130"/>
      <c r="B7" s="91" t="s">
        <v>694</v>
      </c>
      <c r="C7" s="84" t="s">
        <v>695</v>
      </c>
      <c r="D7" s="85">
        <v>0.5</v>
      </c>
      <c r="E7" s="85">
        <v>0.5</v>
      </c>
      <c r="F7" s="85">
        <v>0.5</v>
      </c>
      <c r="G7" s="86">
        <v>1.5</v>
      </c>
    </row>
    <row r="8" spans="1:7" s="4" customFormat="1" ht="12" customHeight="1" x14ac:dyDescent="0.25">
      <c r="A8" s="129" t="s">
        <v>464</v>
      </c>
      <c r="B8" s="87" t="s">
        <v>465</v>
      </c>
      <c r="C8" s="88" t="s">
        <v>466</v>
      </c>
      <c r="D8" s="89">
        <v>0.5</v>
      </c>
      <c r="E8" s="89">
        <v>0.5</v>
      </c>
      <c r="F8" s="89">
        <v>0.5</v>
      </c>
      <c r="G8" s="90">
        <v>1.5</v>
      </c>
    </row>
    <row r="9" spans="1:7" s="4" customFormat="1" ht="12" customHeight="1" x14ac:dyDescent="0.25">
      <c r="A9" s="130"/>
      <c r="B9" s="83" t="s">
        <v>1162</v>
      </c>
      <c r="C9" s="84" t="s">
        <v>1163</v>
      </c>
      <c r="D9" s="85">
        <v>0.5</v>
      </c>
      <c r="E9" s="85">
        <v>0.5</v>
      </c>
      <c r="F9" s="85">
        <v>0.5</v>
      </c>
      <c r="G9" s="86">
        <v>1.5</v>
      </c>
    </row>
    <row r="10" spans="1:7" s="4" customFormat="1" ht="24" customHeight="1" x14ac:dyDescent="0.25">
      <c r="A10" s="129" t="s">
        <v>112</v>
      </c>
      <c r="B10" s="92" t="s">
        <v>645</v>
      </c>
      <c r="C10" s="88" t="s">
        <v>646</v>
      </c>
      <c r="D10" s="89">
        <v>0.5</v>
      </c>
      <c r="E10" s="89">
        <v>0.5</v>
      </c>
      <c r="F10" s="89">
        <v>0.5</v>
      </c>
      <c r="G10" s="90">
        <v>1.5</v>
      </c>
    </row>
    <row r="11" spans="1:7" s="4" customFormat="1" ht="12" customHeight="1" x14ac:dyDescent="0.25">
      <c r="A11" s="130"/>
      <c r="B11" s="91" t="s">
        <v>654</v>
      </c>
      <c r="C11" s="84" t="s">
        <v>655</v>
      </c>
      <c r="D11" s="85">
        <v>0.5</v>
      </c>
      <c r="E11" s="85">
        <v>0.5</v>
      </c>
      <c r="F11" s="85">
        <v>0.5</v>
      </c>
      <c r="G11" s="86">
        <v>1.5</v>
      </c>
    </row>
    <row r="12" spans="1:7" s="4" customFormat="1" ht="24" customHeight="1" x14ac:dyDescent="0.3">
      <c r="A12" s="93" t="s">
        <v>285</v>
      </c>
      <c r="B12" s="94" t="s">
        <v>854</v>
      </c>
      <c r="C12" s="95" t="s">
        <v>855</v>
      </c>
      <c r="D12" s="96">
        <v>1</v>
      </c>
      <c r="E12" s="96">
        <v>0</v>
      </c>
      <c r="F12" s="96">
        <v>1</v>
      </c>
      <c r="G12" s="97">
        <v>2</v>
      </c>
    </row>
    <row r="13" spans="1:7" s="4" customFormat="1" ht="24" customHeight="1" x14ac:dyDescent="0.25">
      <c r="A13" s="93" t="s">
        <v>288</v>
      </c>
      <c r="B13" s="94" t="s">
        <v>427</v>
      </c>
      <c r="C13" s="95" t="s">
        <v>443</v>
      </c>
      <c r="D13" s="96">
        <v>0</v>
      </c>
      <c r="E13" s="96">
        <v>1</v>
      </c>
      <c r="F13" s="96">
        <v>1</v>
      </c>
      <c r="G13" s="97">
        <v>2</v>
      </c>
    </row>
    <row r="14" spans="1:7" s="4" customFormat="1" ht="12" customHeight="1" x14ac:dyDescent="0.25">
      <c r="A14" s="93" t="s">
        <v>703</v>
      </c>
      <c r="B14" s="98" t="s">
        <v>704</v>
      </c>
      <c r="C14" s="95" t="s">
        <v>705</v>
      </c>
      <c r="D14" s="96">
        <v>0.5</v>
      </c>
      <c r="E14" s="96">
        <v>0.5</v>
      </c>
      <c r="F14" s="96">
        <v>0.5</v>
      </c>
      <c r="G14" s="97">
        <v>1.5</v>
      </c>
    </row>
    <row r="15" spans="1:7" s="4" customFormat="1" ht="12" customHeight="1" x14ac:dyDescent="0.25">
      <c r="A15" s="93" t="s">
        <v>160</v>
      </c>
      <c r="B15" s="98" t="s">
        <v>157</v>
      </c>
      <c r="C15" s="95" t="s">
        <v>158</v>
      </c>
      <c r="D15" s="96">
        <v>0.5</v>
      </c>
      <c r="E15" s="96">
        <v>0.5</v>
      </c>
      <c r="F15" s="96">
        <v>0.5</v>
      </c>
      <c r="G15" s="97">
        <v>1.5</v>
      </c>
    </row>
    <row r="16" spans="1:7" s="4" customFormat="1" ht="36" customHeight="1" x14ac:dyDescent="0.25">
      <c r="A16" s="93" t="s">
        <v>779</v>
      </c>
      <c r="B16" s="94" t="s">
        <v>783</v>
      </c>
      <c r="C16" s="95" t="s">
        <v>784</v>
      </c>
      <c r="D16" s="96">
        <v>0.5</v>
      </c>
      <c r="E16" s="96">
        <v>0.5</v>
      </c>
      <c r="F16" s="96">
        <v>0.5</v>
      </c>
      <c r="G16" s="97">
        <v>1.5</v>
      </c>
    </row>
    <row r="17" spans="1:7" s="4" customFormat="1" ht="12" customHeight="1" x14ac:dyDescent="0.25">
      <c r="A17" s="99" t="s">
        <v>95</v>
      </c>
      <c r="B17" s="98" t="s">
        <v>92</v>
      </c>
      <c r="C17" s="95" t="s">
        <v>93</v>
      </c>
      <c r="D17" s="96">
        <v>0.5</v>
      </c>
      <c r="E17" s="96">
        <v>0.5</v>
      </c>
      <c r="F17" s="96">
        <v>0.5</v>
      </c>
      <c r="G17" s="97">
        <v>1.5</v>
      </c>
    </row>
    <row r="18" spans="1:7" s="4" customFormat="1" ht="24" customHeight="1" x14ac:dyDescent="0.25">
      <c r="A18" s="93" t="s">
        <v>981</v>
      </c>
      <c r="B18" s="94" t="s">
        <v>1125</v>
      </c>
      <c r="C18" s="95" t="s">
        <v>1126</v>
      </c>
      <c r="D18" s="96">
        <v>0.5</v>
      </c>
      <c r="E18" s="96">
        <v>0.5</v>
      </c>
      <c r="F18" s="96">
        <v>0.5</v>
      </c>
      <c r="G18" s="97">
        <v>1.5</v>
      </c>
    </row>
    <row r="19" spans="1:7" s="4" customFormat="1" ht="12" customHeight="1" x14ac:dyDescent="0.25">
      <c r="A19" s="93" t="s">
        <v>210</v>
      </c>
      <c r="B19" s="98" t="s">
        <v>636</v>
      </c>
      <c r="C19" s="95" t="s">
        <v>637</v>
      </c>
      <c r="D19" s="96">
        <v>0.5</v>
      </c>
      <c r="E19" s="96">
        <v>0.5</v>
      </c>
      <c r="F19" s="96">
        <v>0.5</v>
      </c>
      <c r="G19" s="97">
        <v>1.5</v>
      </c>
    </row>
    <row r="20" spans="1:7" s="4" customFormat="1" ht="12" customHeight="1" x14ac:dyDescent="0.2">
      <c r="A20" s="93" t="s">
        <v>391</v>
      </c>
      <c r="B20" s="100" t="s">
        <v>388</v>
      </c>
      <c r="C20" s="101" t="s">
        <v>389</v>
      </c>
      <c r="D20" s="102">
        <v>0.5</v>
      </c>
      <c r="E20" s="102">
        <v>0.5</v>
      </c>
      <c r="F20" s="102">
        <v>0.5</v>
      </c>
      <c r="G20" s="103">
        <v>1.5</v>
      </c>
    </row>
    <row r="21" spans="1:7" s="4" customFormat="1" ht="12" customHeight="1" x14ac:dyDescent="0.2">
      <c r="A21" s="93" t="s">
        <v>381</v>
      </c>
      <c r="B21" s="98" t="s">
        <v>1075</v>
      </c>
      <c r="C21" s="104" t="s">
        <v>1076</v>
      </c>
      <c r="D21" s="96">
        <v>0.5</v>
      </c>
      <c r="E21" s="96">
        <v>0.5</v>
      </c>
      <c r="F21" s="96">
        <v>0.5</v>
      </c>
      <c r="G21" s="97">
        <v>1.5</v>
      </c>
    </row>
  </sheetData>
  <sortState ref="A12:XFD21">
    <sortCondition descending="1" ref="G12:G21"/>
  </sortState>
  <mergeCells count="8">
    <mergeCell ref="A8:A9"/>
    <mergeCell ref="A10:A11"/>
    <mergeCell ref="D1:G1"/>
    <mergeCell ref="C1:C2"/>
    <mergeCell ref="B1:B2"/>
    <mergeCell ref="A1:A2"/>
    <mergeCell ref="A3:A5"/>
    <mergeCell ref="A6:A7"/>
  </mergeCells>
  <dataValidations count="1">
    <dataValidation type="list" allowBlank="1" showInputMessage="1" showErrorMessage="1" sqref="D19:F21">
      <formula1>$F$2:$F$4</formula1>
    </dataValidation>
  </dataValidations>
  <hyperlinks>
    <hyperlink ref="C12" r:id="rId1"/>
    <hyperlink ref="C13" r:id="rId2"/>
    <hyperlink ref="C19" r:id="rId3"/>
    <hyperlink ref="C3" r:id="rId4"/>
    <hyperlink ref="C10" r:id="rId5"/>
    <hyperlink ref="C11" r:id="rId6"/>
    <hyperlink ref="C4" r:id="rId7"/>
    <hyperlink ref="C18" r:id="rId8"/>
    <hyperlink ref="C14" r:id="rId9"/>
    <hyperlink ref="C21" r:id="rId10"/>
    <hyperlink ref="C7" r:id="rId11"/>
    <hyperlink ref="C17" r:id="rId12"/>
    <hyperlink ref="C9" r:id="rId13"/>
    <hyperlink ref="C15" r:id="rId14"/>
    <hyperlink ref="C5" r:id="rId15"/>
    <hyperlink ref="C16" r:id="rId16"/>
    <hyperlink ref="C20" r:id="rId17"/>
  </hyperlinks>
  <pageMargins left="0.7" right="0.7" top="0.75" bottom="0.75" header="0.3" footer="0.3"/>
  <pageSetup orientation="portrait" horizontalDpi="300" verticalDpi="0" r:id="rId18"/>
  <extLst>
    <ext xmlns:x14="http://schemas.microsoft.com/office/spreadsheetml/2009/9/main" uri="{CCE6A557-97BC-4b89-ADB6-D9C93CAAB3DF}">
      <x14:dataValidations xmlns:xm="http://schemas.microsoft.com/office/excel/2006/main" count="1">
        <x14:dataValidation type="list" allowBlank="1" showInputMessage="1" showErrorMessage="1">
          <x14:formula1>
            <xm:f>'Cell values'!$E$2:$E$4</xm:f>
          </x14:formula1>
          <xm:sqref>D3:F18</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B1855"/>
  <sheetViews>
    <sheetView workbookViewId="0"/>
  </sheetViews>
  <sheetFormatPr defaultColWidth="8.85546875" defaultRowHeight="15" x14ac:dyDescent="0.25"/>
  <cols>
    <col min="1" max="1" width="28.5703125" style="23" customWidth="1"/>
    <col min="2" max="2" width="32.42578125" style="23" customWidth="1"/>
    <col min="3" max="16384" width="8.85546875" style="23"/>
  </cols>
  <sheetData>
    <row r="1" spans="1:2" x14ac:dyDescent="0.25">
      <c r="A1" s="56" t="s">
        <v>1207</v>
      </c>
      <c r="B1" s="56" t="s">
        <v>12</v>
      </c>
    </row>
    <row r="2" spans="1:2" x14ac:dyDescent="0.25">
      <c r="A2" s="4" t="s">
        <v>72</v>
      </c>
      <c r="B2" s="4" t="s">
        <v>13</v>
      </c>
    </row>
    <row r="3" spans="1:2" x14ac:dyDescent="0.25">
      <c r="A3" s="4" t="s">
        <v>75</v>
      </c>
      <c r="B3" s="4" t="s">
        <v>13</v>
      </c>
    </row>
    <row r="4" spans="1:2" x14ac:dyDescent="0.25">
      <c r="A4" s="4" t="s">
        <v>68</v>
      </c>
      <c r="B4" s="4" t="s">
        <v>13</v>
      </c>
    </row>
    <row r="5" spans="1:2" x14ac:dyDescent="0.25">
      <c r="A5" s="4" t="s">
        <v>67</v>
      </c>
      <c r="B5" s="4" t="s">
        <v>13</v>
      </c>
    </row>
    <row r="6" spans="1:2" x14ac:dyDescent="0.25">
      <c r="A6" s="4" t="s">
        <v>67</v>
      </c>
      <c r="B6" s="4" t="s">
        <v>13</v>
      </c>
    </row>
    <row r="7" spans="1:2" x14ac:dyDescent="0.25">
      <c r="A7" s="4" t="s">
        <v>67</v>
      </c>
      <c r="B7" s="4" t="s">
        <v>13</v>
      </c>
    </row>
    <row r="8" spans="1:2" s="114" customFormat="1" x14ac:dyDescent="0.25">
      <c r="A8" s="4" t="s">
        <v>72</v>
      </c>
      <c r="B8" s="4" t="s">
        <v>13</v>
      </c>
    </row>
    <row r="9" spans="1:2" s="114" customFormat="1" x14ac:dyDescent="0.25">
      <c r="A9" s="4" t="s">
        <v>72</v>
      </c>
      <c r="B9" s="4" t="s">
        <v>13</v>
      </c>
    </row>
    <row r="10" spans="1:2" s="114" customFormat="1" x14ac:dyDescent="0.25">
      <c r="A10" s="4" t="s">
        <v>72</v>
      </c>
      <c r="B10" s="4" t="s">
        <v>13</v>
      </c>
    </row>
    <row r="11" spans="1:2" s="114" customFormat="1" x14ac:dyDescent="0.25">
      <c r="A11" s="4" t="s">
        <v>72</v>
      </c>
      <c r="B11" s="4" t="s">
        <v>13</v>
      </c>
    </row>
    <row r="12" spans="1:2" s="114" customFormat="1" x14ac:dyDescent="0.25">
      <c r="A12" s="4" t="s">
        <v>72</v>
      </c>
      <c r="B12" s="4" t="s">
        <v>13</v>
      </c>
    </row>
    <row r="13" spans="1:2" s="114" customFormat="1" x14ac:dyDescent="0.25">
      <c r="A13" s="4" t="s">
        <v>72</v>
      </c>
      <c r="B13" s="4" t="s">
        <v>13</v>
      </c>
    </row>
    <row r="14" spans="1:2" s="114" customFormat="1" x14ac:dyDescent="0.25">
      <c r="A14" s="4" t="s">
        <v>72</v>
      </c>
      <c r="B14" s="4" t="s">
        <v>13</v>
      </c>
    </row>
    <row r="15" spans="1:2" s="114" customFormat="1" x14ac:dyDescent="0.25">
      <c r="A15" s="4" t="s">
        <v>72</v>
      </c>
      <c r="B15" s="4" t="s">
        <v>13</v>
      </c>
    </row>
    <row r="16" spans="1:2" s="114" customFormat="1" x14ac:dyDescent="0.25">
      <c r="A16" s="4" t="s">
        <v>65</v>
      </c>
      <c r="B16" s="4" t="s">
        <v>13</v>
      </c>
    </row>
    <row r="17" spans="1:2" s="114" customFormat="1" x14ac:dyDescent="0.25">
      <c r="A17" s="4" t="s">
        <v>75</v>
      </c>
      <c r="B17" s="4" t="s">
        <v>13</v>
      </c>
    </row>
    <row r="18" spans="1:2" s="114" customFormat="1" x14ac:dyDescent="0.25">
      <c r="A18" s="4" t="s">
        <v>68</v>
      </c>
      <c r="B18" s="4" t="s">
        <v>13</v>
      </c>
    </row>
    <row r="19" spans="1:2" s="114" customFormat="1" x14ac:dyDescent="0.25">
      <c r="A19" s="4" t="s">
        <v>73</v>
      </c>
      <c r="B19" s="4" t="s">
        <v>13</v>
      </c>
    </row>
    <row r="20" spans="1:2" s="114" customFormat="1" x14ac:dyDescent="0.25">
      <c r="A20" s="4" t="s">
        <v>73</v>
      </c>
      <c r="B20" s="4" t="s">
        <v>13</v>
      </c>
    </row>
    <row r="21" spans="1:2" s="114" customFormat="1" x14ac:dyDescent="0.25">
      <c r="A21" s="4" t="s">
        <v>581</v>
      </c>
      <c r="B21" s="4" t="s">
        <v>13</v>
      </c>
    </row>
    <row r="22" spans="1:2" s="114" customFormat="1" x14ac:dyDescent="0.25">
      <c r="A22" s="4" t="s">
        <v>59</v>
      </c>
      <c r="B22" s="4" t="s">
        <v>13</v>
      </c>
    </row>
    <row r="23" spans="1:2" s="114" customFormat="1" x14ac:dyDescent="0.25">
      <c r="A23" s="4" t="s">
        <v>72</v>
      </c>
      <c r="B23" s="4" t="s">
        <v>13</v>
      </c>
    </row>
    <row r="24" spans="1:2" s="114" customFormat="1" x14ac:dyDescent="0.25">
      <c r="A24" s="4" t="s">
        <v>72</v>
      </c>
      <c r="B24" s="4" t="s">
        <v>13</v>
      </c>
    </row>
    <row r="25" spans="1:2" s="114" customFormat="1" x14ac:dyDescent="0.25">
      <c r="A25" s="4" t="s">
        <v>72</v>
      </c>
      <c r="B25" s="4" t="s">
        <v>13</v>
      </c>
    </row>
    <row r="26" spans="1:2" s="114" customFormat="1" x14ac:dyDescent="0.25">
      <c r="A26" s="4" t="s">
        <v>62</v>
      </c>
      <c r="B26" s="4" t="s">
        <v>13</v>
      </c>
    </row>
    <row r="27" spans="1:2" s="114" customFormat="1" x14ac:dyDescent="0.25">
      <c r="A27" s="4" t="s">
        <v>69</v>
      </c>
      <c r="B27" s="4" t="s">
        <v>13</v>
      </c>
    </row>
    <row r="28" spans="1:2" s="114" customFormat="1" x14ac:dyDescent="0.25">
      <c r="A28" s="4" t="s">
        <v>72</v>
      </c>
      <c r="B28" s="4" t="s">
        <v>13</v>
      </c>
    </row>
    <row r="29" spans="1:2" s="114" customFormat="1" x14ac:dyDescent="0.25">
      <c r="A29" s="4" t="s">
        <v>71</v>
      </c>
      <c r="B29" s="4" t="s">
        <v>13</v>
      </c>
    </row>
    <row r="30" spans="1:2" s="114" customFormat="1" x14ac:dyDescent="0.25">
      <c r="A30" s="4" t="s">
        <v>69</v>
      </c>
      <c r="B30" s="4" t="s">
        <v>13</v>
      </c>
    </row>
    <row r="31" spans="1:2" s="114" customFormat="1" x14ac:dyDescent="0.25">
      <c r="A31" s="4" t="s">
        <v>67</v>
      </c>
      <c r="B31" s="4" t="s">
        <v>13</v>
      </c>
    </row>
    <row r="32" spans="1:2" s="114" customFormat="1" x14ac:dyDescent="0.25">
      <c r="A32" s="4" t="s">
        <v>71</v>
      </c>
      <c r="B32" s="4" t="s">
        <v>13</v>
      </c>
    </row>
    <row r="33" spans="1:2" s="114" customFormat="1" x14ac:dyDescent="0.25">
      <c r="A33" s="4" t="s">
        <v>72</v>
      </c>
      <c r="B33" s="4" t="s">
        <v>13</v>
      </c>
    </row>
    <row r="34" spans="1:2" s="114" customFormat="1" x14ac:dyDescent="0.25">
      <c r="A34" s="4" t="s">
        <v>62</v>
      </c>
      <c r="B34" s="4" t="s">
        <v>13</v>
      </c>
    </row>
    <row r="35" spans="1:2" s="114" customFormat="1" x14ac:dyDescent="0.25">
      <c r="A35" s="4" t="s">
        <v>74</v>
      </c>
      <c r="B35" s="4" t="s">
        <v>13</v>
      </c>
    </row>
    <row r="36" spans="1:2" s="114" customFormat="1" x14ac:dyDescent="0.25">
      <c r="A36" s="4" t="s">
        <v>75</v>
      </c>
      <c r="B36" s="4" t="s">
        <v>13</v>
      </c>
    </row>
    <row r="37" spans="1:2" s="114" customFormat="1" x14ac:dyDescent="0.25">
      <c r="A37" s="4" t="s">
        <v>75</v>
      </c>
      <c r="B37" s="4" t="s">
        <v>13</v>
      </c>
    </row>
    <row r="38" spans="1:2" s="114" customFormat="1" x14ac:dyDescent="0.25">
      <c r="A38" s="4" t="s">
        <v>69</v>
      </c>
      <c r="B38" s="4" t="s">
        <v>13</v>
      </c>
    </row>
    <row r="39" spans="1:2" s="114" customFormat="1" x14ac:dyDescent="0.25">
      <c r="A39" s="4" t="s">
        <v>69</v>
      </c>
      <c r="B39" s="4" t="s">
        <v>13</v>
      </c>
    </row>
    <row r="40" spans="1:2" s="114" customFormat="1" x14ac:dyDescent="0.25">
      <c r="A40" s="4" t="s">
        <v>69</v>
      </c>
      <c r="B40" s="4" t="s">
        <v>13</v>
      </c>
    </row>
    <row r="41" spans="1:2" s="114" customFormat="1" x14ac:dyDescent="0.25">
      <c r="A41" s="4" t="s">
        <v>68</v>
      </c>
      <c r="B41" s="4" t="s">
        <v>13</v>
      </c>
    </row>
    <row r="42" spans="1:2" s="114" customFormat="1" x14ac:dyDescent="0.25">
      <c r="A42" s="4" t="s">
        <v>73</v>
      </c>
      <c r="B42" s="4" t="s">
        <v>13</v>
      </c>
    </row>
    <row r="43" spans="1:2" s="114" customFormat="1" x14ac:dyDescent="0.25">
      <c r="A43" s="4" t="s">
        <v>71</v>
      </c>
      <c r="B43" s="4" t="s">
        <v>13</v>
      </c>
    </row>
    <row r="44" spans="1:2" s="114" customFormat="1" x14ac:dyDescent="0.25">
      <c r="A44" s="4" t="s">
        <v>75</v>
      </c>
      <c r="B44" s="4" t="s">
        <v>13</v>
      </c>
    </row>
    <row r="45" spans="1:2" s="114" customFormat="1" x14ac:dyDescent="0.25">
      <c r="A45" s="4" t="s">
        <v>75</v>
      </c>
      <c r="B45" s="4" t="s">
        <v>13</v>
      </c>
    </row>
    <row r="46" spans="1:2" s="114" customFormat="1" x14ac:dyDescent="0.25">
      <c r="A46" s="4" t="s">
        <v>73</v>
      </c>
      <c r="B46" s="4" t="s">
        <v>13</v>
      </c>
    </row>
    <row r="47" spans="1:2" s="114" customFormat="1" x14ac:dyDescent="0.25">
      <c r="A47" s="4" t="s">
        <v>67</v>
      </c>
      <c r="B47" s="4" t="s">
        <v>13</v>
      </c>
    </row>
    <row r="48" spans="1:2" s="114" customFormat="1" x14ac:dyDescent="0.25">
      <c r="A48" s="4" t="s">
        <v>71</v>
      </c>
      <c r="B48" s="4" t="s">
        <v>13</v>
      </c>
    </row>
    <row r="49" spans="1:2" s="114" customFormat="1" x14ac:dyDescent="0.25">
      <c r="A49" s="4" t="s">
        <v>72</v>
      </c>
      <c r="B49" s="4" t="s">
        <v>13</v>
      </c>
    </row>
    <row r="50" spans="1:2" s="114" customFormat="1" x14ac:dyDescent="0.25">
      <c r="A50" s="4" t="s">
        <v>72</v>
      </c>
      <c r="B50" s="4" t="s">
        <v>13</v>
      </c>
    </row>
    <row r="51" spans="1:2" s="114" customFormat="1" x14ac:dyDescent="0.25">
      <c r="A51" s="4" t="s">
        <v>75</v>
      </c>
      <c r="B51" s="4" t="s">
        <v>13</v>
      </c>
    </row>
    <row r="52" spans="1:2" s="114" customFormat="1" x14ac:dyDescent="0.25">
      <c r="A52" s="4" t="s">
        <v>75</v>
      </c>
      <c r="B52" s="4" t="s">
        <v>13</v>
      </c>
    </row>
    <row r="53" spans="1:2" s="114" customFormat="1" x14ac:dyDescent="0.25">
      <c r="A53" s="4" t="s">
        <v>61</v>
      </c>
      <c r="B53" s="4" t="s">
        <v>13</v>
      </c>
    </row>
    <row r="54" spans="1:2" s="114" customFormat="1" x14ac:dyDescent="0.25">
      <c r="A54" s="4" t="s">
        <v>64</v>
      </c>
      <c r="B54" s="4" t="s">
        <v>13</v>
      </c>
    </row>
    <row r="55" spans="1:2" s="114" customFormat="1" x14ac:dyDescent="0.25">
      <c r="A55" s="4" t="s">
        <v>67</v>
      </c>
      <c r="B55" s="4" t="s">
        <v>14</v>
      </c>
    </row>
    <row r="56" spans="1:2" s="114" customFormat="1" x14ac:dyDescent="0.25">
      <c r="A56" s="4" t="s">
        <v>72</v>
      </c>
      <c r="B56" s="4" t="s">
        <v>14</v>
      </c>
    </row>
    <row r="57" spans="1:2" s="114" customFormat="1" x14ac:dyDescent="0.25">
      <c r="A57" s="4" t="s">
        <v>72</v>
      </c>
      <c r="B57" s="4" t="s">
        <v>14</v>
      </c>
    </row>
    <row r="58" spans="1:2" s="114" customFormat="1" x14ac:dyDescent="0.25">
      <c r="A58" s="4" t="s">
        <v>72</v>
      </c>
      <c r="B58" s="4" t="s">
        <v>14</v>
      </c>
    </row>
    <row r="59" spans="1:2" s="114" customFormat="1" x14ac:dyDescent="0.25">
      <c r="A59" s="4" t="s">
        <v>62</v>
      </c>
      <c r="B59" s="4" t="s">
        <v>14</v>
      </c>
    </row>
    <row r="60" spans="1:2" s="114" customFormat="1" x14ac:dyDescent="0.25">
      <c r="A60" s="4" t="s">
        <v>62</v>
      </c>
      <c r="B60" s="4" t="s">
        <v>14</v>
      </c>
    </row>
    <row r="61" spans="1:2" s="114" customFormat="1" x14ac:dyDescent="0.25">
      <c r="A61" s="4" t="s">
        <v>62</v>
      </c>
      <c r="B61" s="4" t="s">
        <v>14</v>
      </c>
    </row>
    <row r="62" spans="1:2" s="114" customFormat="1" x14ac:dyDescent="0.25">
      <c r="A62" s="4" t="s">
        <v>62</v>
      </c>
      <c r="B62" s="4" t="s">
        <v>14</v>
      </c>
    </row>
    <row r="63" spans="1:2" s="114" customFormat="1" x14ac:dyDescent="0.25">
      <c r="A63" s="4" t="s">
        <v>62</v>
      </c>
      <c r="B63" s="4" t="s">
        <v>14</v>
      </c>
    </row>
    <row r="64" spans="1:2" s="114" customFormat="1" x14ac:dyDescent="0.25">
      <c r="A64" s="4" t="s">
        <v>62</v>
      </c>
      <c r="B64" s="4" t="s">
        <v>14</v>
      </c>
    </row>
    <row r="65" spans="1:2" s="114" customFormat="1" x14ac:dyDescent="0.25">
      <c r="A65" s="4" t="s">
        <v>75</v>
      </c>
      <c r="B65" s="4" t="s">
        <v>14</v>
      </c>
    </row>
    <row r="66" spans="1:2" s="114" customFormat="1" x14ac:dyDescent="0.25">
      <c r="A66" s="4" t="s">
        <v>69</v>
      </c>
      <c r="B66" s="4" t="s">
        <v>14</v>
      </c>
    </row>
    <row r="67" spans="1:2" s="114" customFormat="1" x14ac:dyDescent="0.25">
      <c r="A67" s="4" t="s">
        <v>60</v>
      </c>
      <c r="B67" s="4" t="s">
        <v>14</v>
      </c>
    </row>
    <row r="68" spans="1:2" s="114" customFormat="1" x14ac:dyDescent="0.25">
      <c r="A68" s="4" t="s">
        <v>68</v>
      </c>
      <c r="B68" s="4" t="s">
        <v>14</v>
      </c>
    </row>
    <row r="69" spans="1:2" s="114" customFormat="1" x14ac:dyDescent="0.25">
      <c r="A69" s="4" t="s">
        <v>68</v>
      </c>
      <c r="B69" s="4" t="s">
        <v>14</v>
      </c>
    </row>
    <row r="70" spans="1:2" s="114" customFormat="1" x14ac:dyDescent="0.25">
      <c r="A70" s="4" t="s">
        <v>68</v>
      </c>
      <c r="B70" s="4" t="s">
        <v>14</v>
      </c>
    </row>
    <row r="71" spans="1:2" s="114" customFormat="1" x14ac:dyDescent="0.25">
      <c r="A71" s="4" t="s">
        <v>68</v>
      </c>
      <c r="B71" s="4" t="s">
        <v>14</v>
      </c>
    </row>
    <row r="72" spans="1:2" s="114" customFormat="1" x14ac:dyDescent="0.25">
      <c r="A72" s="4" t="s">
        <v>68</v>
      </c>
      <c r="B72" s="4" t="s">
        <v>14</v>
      </c>
    </row>
    <row r="73" spans="1:2" s="114" customFormat="1" x14ac:dyDescent="0.25">
      <c r="A73" s="4" t="s">
        <v>68</v>
      </c>
      <c r="B73" s="4" t="s">
        <v>14</v>
      </c>
    </row>
    <row r="74" spans="1:2" s="114" customFormat="1" x14ac:dyDescent="0.25">
      <c r="A74" s="4" t="s">
        <v>581</v>
      </c>
      <c r="B74" s="4" t="s">
        <v>14</v>
      </c>
    </row>
    <row r="75" spans="1:2" s="114" customFormat="1" x14ac:dyDescent="0.25">
      <c r="A75" s="4" t="s">
        <v>72</v>
      </c>
      <c r="B75" s="4" t="s">
        <v>14</v>
      </c>
    </row>
    <row r="76" spans="1:2" s="114" customFormat="1" x14ac:dyDescent="0.25">
      <c r="A76" s="4" t="s">
        <v>72</v>
      </c>
      <c r="B76" s="4" t="s">
        <v>14</v>
      </c>
    </row>
    <row r="77" spans="1:2" s="114" customFormat="1" x14ac:dyDescent="0.25">
      <c r="A77" s="4" t="s">
        <v>62</v>
      </c>
      <c r="B77" s="4" t="s">
        <v>14</v>
      </c>
    </row>
    <row r="78" spans="1:2" s="114" customFormat="1" x14ac:dyDescent="0.25">
      <c r="A78" s="4" t="s">
        <v>74</v>
      </c>
      <c r="B78" s="4" t="s">
        <v>14</v>
      </c>
    </row>
    <row r="79" spans="1:2" s="114" customFormat="1" x14ac:dyDescent="0.25">
      <c r="A79" s="4" t="s">
        <v>75</v>
      </c>
      <c r="B79" s="4" t="s">
        <v>14</v>
      </c>
    </row>
    <row r="80" spans="1:2" s="114" customFormat="1" x14ac:dyDescent="0.25">
      <c r="A80" s="4" t="s">
        <v>75</v>
      </c>
      <c r="B80" s="4" t="s">
        <v>14</v>
      </c>
    </row>
    <row r="81" spans="1:2" s="114" customFormat="1" x14ac:dyDescent="0.25">
      <c r="A81" s="4" t="s">
        <v>75</v>
      </c>
      <c r="B81" s="4" t="s">
        <v>14</v>
      </c>
    </row>
    <row r="82" spans="1:2" s="114" customFormat="1" x14ac:dyDescent="0.25">
      <c r="A82" s="4" t="s">
        <v>60</v>
      </c>
      <c r="B82" s="4" t="s">
        <v>14</v>
      </c>
    </row>
    <row r="83" spans="1:2" s="114" customFormat="1" x14ac:dyDescent="0.25">
      <c r="A83" s="4" t="s">
        <v>60</v>
      </c>
      <c r="B83" s="4" t="s">
        <v>14</v>
      </c>
    </row>
    <row r="84" spans="1:2" s="114" customFormat="1" x14ac:dyDescent="0.25">
      <c r="A84" s="4" t="s">
        <v>60</v>
      </c>
      <c r="B84" s="4" t="s">
        <v>14</v>
      </c>
    </row>
    <row r="85" spans="1:2" s="114" customFormat="1" x14ac:dyDescent="0.25">
      <c r="A85" s="4" t="s">
        <v>63</v>
      </c>
      <c r="B85" s="4" t="s">
        <v>14</v>
      </c>
    </row>
    <row r="86" spans="1:2" s="114" customFormat="1" x14ac:dyDescent="0.25">
      <c r="A86" s="4" t="s">
        <v>64</v>
      </c>
      <c r="B86" s="4" t="s">
        <v>14</v>
      </c>
    </row>
    <row r="87" spans="1:2" s="114" customFormat="1" x14ac:dyDescent="0.25">
      <c r="A87" s="4" t="s">
        <v>72</v>
      </c>
      <c r="B87" s="4" t="s">
        <v>15</v>
      </c>
    </row>
    <row r="88" spans="1:2" s="114" customFormat="1" x14ac:dyDescent="0.25">
      <c r="A88" s="4" t="s">
        <v>68</v>
      </c>
      <c r="B88" s="4" t="s">
        <v>15</v>
      </c>
    </row>
    <row r="89" spans="1:2" s="114" customFormat="1" x14ac:dyDescent="0.25">
      <c r="A89" s="4" t="s">
        <v>72</v>
      </c>
      <c r="B89" s="4" t="s">
        <v>15</v>
      </c>
    </row>
    <row r="90" spans="1:2" s="114" customFormat="1" x14ac:dyDescent="0.25">
      <c r="A90" s="4" t="s">
        <v>72</v>
      </c>
      <c r="B90" s="4" t="s">
        <v>15</v>
      </c>
    </row>
    <row r="91" spans="1:2" s="114" customFormat="1" x14ac:dyDescent="0.25">
      <c r="A91" s="4" t="s">
        <v>72</v>
      </c>
      <c r="B91" s="4" t="s">
        <v>15</v>
      </c>
    </row>
    <row r="92" spans="1:2" s="114" customFormat="1" x14ac:dyDescent="0.25">
      <c r="A92" s="4" t="s">
        <v>72</v>
      </c>
      <c r="B92" s="4" t="s">
        <v>15</v>
      </c>
    </row>
    <row r="93" spans="1:2" s="114" customFormat="1" x14ac:dyDescent="0.25">
      <c r="A93" s="4" t="s">
        <v>72</v>
      </c>
      <c r="B93" s="4" t="s">
        <v>15</v>
      </c>
    </row>
    <row r="94" spans="1:2" s="114" customFormat="1" x14ac:dyDescent="0.25">
      <c r="A94" s="4" t="s">
        <v>68</v>
      </c>
      <c r="B94" s="4" t="s">
        <v>15</v>
      </c>
    </row>
    <row r="95" spans="1:2" s="114" customFormat="1" x14ac:dyDescent="0.25">
      <c r="A95" s="4" t="s">
        <v>68</v>
      </c>
      <c r="B95" s="4" t="s">
        <v>15</v>
      </c>
    </row>
    <row r="96" spans="1:2" s="114" customFormat="1" x14ac:dyDescent="0.25">
      <c r="A96" s="4" t="s">
        <v>68</v>
      </c>
      <c r="B96" s="4" t="s">
        <v>15</v>
      </c>
    </row>
    <row r="97" spans="1:2" s="114" customFormat="1" x14ac:dyDescent="0.25">
      <c r="A97" s="4" t="s">
        <v>72</v>
      </c>
      <c r="B97" s="4" t="s">
        <v>15</v>
      </c>
    </row>
    <row r="98" spans="1:2" s="114" customFormat="1" x14ac:dyDescent="0.25">
      <c r="A98" s="4" t="s">
        <v>72</v>
      </c>
      <c r="B98" s="4" t="s">
        <v>15</v>
      </c>
    </row>
    <row r="99" spans="1:2" s="114" customFormat="1" x14ac:dyDescent="0.25">
      <c r="A99" s="4" t="s">
        <v>72</v>
      </c>
      <c r="B99" s="4" t="s">
        <v>15</v>
      </c>
    </row>
    <row r="100" spans="1:2" s="114" customFormat="1" x14ac:dyDescent="0.25">
      <c r="A100" s="4" t="s">
        <v>68</v>
      </c>
      <c r="B100" s="4" t="s">
        <v>15</v>
      </c>
    </row>
    <row r="101" spans="1:2" s="114" customFormat="1" x14ac:dyDescent="0.25">
      <c r="A101" s="4" t="s">
        <v>68</v>
      </c>
      <c r="B101" s="4" t="s">
        <v>15</v>
      </c>
    </row>
    <row r="102" spans="1:2" s="114" customFormat="1" x14ac:dyDescent="0.25">
      <c r="A102" s="4" t="s">
        <v>62</v>
      </c>
      <c r="B102" s="4" t="s">
        <v>15</v>
      </c>
    </row>
    <row r="103" spans="1:2" s="114" customFormat="1" x14ac:dyDescent="0.25">
      <c r="A103" s="4" t="s">
        <v>71</v>
      </c>
      <c r="B103" s="4" t="s">
        <v>15</v>
      </c>
    </row>
    <row r="104" spans="1:2" s="114" customFormat="1" x14ac:dyDescent="0.25">
      <c r="A104" s="4" t="s">
        <v>72</v>
      </c>
      <c r="B104" s="4" t="s">
        <v>15</v>
      </c>
    </row>
    <row r="105" spans="1:2" s="114" customFormat="1" x14ac:dyDescent="0.25">
      <c r="A105" s="4" t="s">
        <v>68</v>
      </c>
      <c r="B105" s="4" t="s">
        <v>15</v>
      </c>
    </row>
    <row r="106" spans="1:2" s="114" customFormat="1" x14ac:dyDescent="0.25">
      <c r="A106" s="4" t="s">
        <v>72</v>
      </c>
      <c r="B106" s="4" t="s">
        <v>15</v>
      </c>
    </row>
    <row r="107" spans="1:2" s="114" customFormat="1" x14ac:dyDescent="0.25">
      <c r="A107" s="4" t="s">
        <v>68</v>
      </c>
      <c r="B107" s="4" t="s">
        <v>15</v>
      </c>
    </row>
    <row r="108" spans="1:2" s="114" customFormat="1" x14ac:dyDescent="0.25">
      <c r="A108" s="4" t="s">
        <v>62</v>
      </c>
      <c r="B108" s="4" t="s">
        <v>15</v>
      </c>
    </row>
    <row r="109" spans="1:2" s="114" customFormat="1" x14ac:dyDescent="0.25">
      <c r="A109" s="4" t="s">
        <v>72</v>
      </c>
      <c r="B109" s="4" t="s">
        <v>7</v>
      </c>
    </row>
    <row r="110" spans="1:2" s="114" customFormat="1" x14ac:dyDescent="0.25">
      <c r="A110" s="4" t="s">
        <v>75</v>
      </c>
      <c r="B110" s="4" t="s">
        <v>7</v>
      </c>
    </row>
    <row r="111" spans="1:2" s="114" customFormat="1" x14ac:dyDescent="0.25">
      <c r="A111" s="4" t="s">
        <v>67</v>
      </c>
      <c r="B111" s="4" t="s">
        <v>7</v>
      </c>
    </row>
    <row r="112" spans="1:2" s="114" customFormat="1" x14ac:dyDescent="0.25">
      <c r="A112" s="4" t="s">
        <v>72</v>
      </c>
      <c r="B112" s="4" t="s">
        <v>7</v>
      </c>
    </row>
    <row r="113" spans="1:2" s="114" customFormat="1" x14ac:dyDescent="0.25">
      <c r="A113" s="4" t="s">
        <v>72</v>
      </c>
      <c r="B113" s="4" t="s">
        <v>7</v>
      </c>
    </row>
    <row r="114" spans="1:2" s="114" customFormat="1" x14ac:dyDescent="0.25">
      <c r="A114" s="4" t="s">
        <v>72</v>
      </c>
      <c r="B114" s="4" t="s">
        <v>7</v>
      </c>
    </row>
    <row r="115" spans="1:2" s="114" customFormat="1" x14ac:dyDescent="0.25">
      <c r="A115" s="4" t="s">
        <v>72</v>
      </c>
      <c r="B115" s="4" t="s">
        <v>7</v>
      </c>
    </row>
    <row r="116" spans="1:2" s="114" customFormat="1" x14ac:dyDescent="0.25">
      <c r="A116" s="4" t="s">
        <v>72</v>
      </c>
      <c r="B116" s="4" t="s">
        <v>7</v>
      </c>
    </row>
    <row r="117" spans="1:2" s="114" customFormat="1" x14ac:dyDescent="0.25">
      <c r="A117" s="4" t="s">
        <v>72</v>
      </c>
      <c r="B117" s="4" t="s">
        <v>7</v>
      </c>
    </row>
    <row r="118" spans="1:2" s="114" customFormat="1" x14ac:dyDescent="0.25">
      <c r="A118" s="4" t="s">
        <v>72</v>
      </c>
      <c r="B118" s="4" t="s">
        <v>7</v>
      </c>
    </row>
    <row r="119" spans="1:2" s="114" customFormat="1" x14ac:dyDescent="0.25">
      <c r="A119" s="4" t="s">
        <v>62</v>
      </c>
      <c r="B119" s="4" t="s">
        <v>7</v>
      </c>
    </row>
    <row r="120" spans="1:2" s="114" customFormat="1" x14ac:dyDescent="0.25">
      <c r="A120" s="4" t="s">
        <v>62</v>
      </c>
      <c r="B120" s="4" t="s">
        <v>7</v>
      </c>
    </row>
    <row r="121" spans="1:2" s="114" customFormat="1" x14ac:dyDescent="0.25">
      <c r="A121" s="4" t="s">
        <v>75</v>
      </c>
      <c r="B121" s="4" t="s">
        <v>7</v>
      </c>
    </row>
    <row r="122" spans="1:2" s="114" customFormat="1" x14ac:dyDescent="0.25">
      <c r="A122" s="4" t="s">
        <v>75</v>
      </c>
      <c r="B122" s="4" t="s">
        <v>7</v>
      </c>
    </row>
    <row r="123" spans="1:2" s="114" customFormat="1" x14ac:dyDescent="0.25">
      <c r="A123" s="4" t="s">
        <v>75</v>
      </c>
      <c r="B123" s="4" t="s">
        <v>7</v>
      </c>
    </row>
    <row r="124" spans="1:2" s="114" customFormat="1" x14ac:dyDescent="0.25">
      <c r="A124" s="4" t="s">
        <v>75</v>
      </c>
      <c r="B124" s="4" t="s">
        <v>7</v>
      </c>
    </row>
    <row r="125" spans="1:2" s="114" customFormat="1" x14ac:dyDescent="0.25">
      <c r="A125" s="4" t="s">
        <v>75</v>
      </c>
      <c r="B125" s="4" t="s">
        <v>7</v>
      </c>
    </row>
    <row r="126" spans="1:2" s="114" customFormat="1" x14ac:dyDescent="0.25">
      <c r="A126" s="4" t="s">
        <v>75</v>
      </c>
      <c r="B126" s="4" t="s">
        <v>7</v>
      </c>
    </row>
    <row r="127" spans="1:2" s="114" customFormat="1" x14ac:dyDescent="0.25">
      <c r="A127" s="4" t="s">
        <v>64</v>
      </c>
      <c r="B127" s="4" t="s">
        <v>7</v>
      </c>
    </row>
    <row r="128" spans="1:2" s="114" customFormat="1" x14ac:dyDescent="0.25">
      <c r="A128" s="4" t="s">
        <v>66</v>
      </c>
      <c r="B128" s="4" t="s">
        <v>7</v>
      </c>
    </row>
    <row r="129" spans="1:2" s="114" customFormat="1" x14ac:dyDescent="0.25">
      <c r="A129" s="4" t="s">
        <v>68</v>
      </c>
      <c r="B129" s="4" t="s">
        <v>7</v>
      </c>
    </row>
    <row r="130" spans="1:2" s="114" customFormat="1" x14ac:dyDescent="0.25">
      <c r="A130" s="4" t="s">
        <v>68</v>
      </c>
      <c r="B130" s="4" t="s">
        <v>7</v>
      </c>
    </row>
    <row r="131" spans="1:2" s="114" customFormat="1" x14ac:dyDescent="0.25">
      <c r="A131" s="4" t="s">
        <v>68</v>
      </c>
      <c r="B131" s="4" t="s">
        <v>7</v>
      </c>
    </row>
    <row r="132" spans="1:2" s="114" customFormat="1" x14ac:dyDescent="0.25">
      <c r="A132" s="4" t="s">
        <v>68</v>
      </c>
      <c r="B132" s="4" t="s">
        <v>7</v>
      </c>
    </row>
    <row r="133" spans="1:2" s="114" customFormat="1" x14ac:dyDescent="0.25">
      <c r="A133" s="4" t="s">
        <v>68</v>
      </c>
      <c r="B133" s="4" t="s">
        <v>7</v>
      </c>
    </row>
    <row r="134" spans="1:2" s="114" customFormat="1" x14ac:dyDescent="0.25">
      <c r="A134" s="4" t="s">
        <v>68</v>
      </c>
      <c r="B134" s="4" t="s">
        <v>7</v>
      </c>
    </row>
    <row r="135" spans="1:2" s="114" customFormat="1" x14ac:dyDescent="0.25">
      <c r="A135" s="4" t="s">
        <v>68</v>
      </c>
      <c r="B135" s="4" t="s">
        <v>7</v>
      </c>
    </row>
    <row r="136" spans="1:2" s="114" customFormat="1" x14ac:dyDescent="0.25">
      <c r="A136" s="4" t="s">
        <v>68</v>
      </c>
      <c r="B136" s="4" t="s">
        <v>7</v>
      </c>
    </row>
    <row r="137" spans="1:2" s="114" customFormat="1" x14ac:dyDescent="0.25">
      <c r="A137" s="4" t="s">
        <v>581</v>
      </c>
      <c r="B137" s="4" t="s">
        <v>7</v>
      </c>
    </row>
    <row r="138" spans="1:2" s="114" customFormat="1" x14ac:dyDescent="0.25">
      <c r="A138" s="4" t="s">
        <v>72</v>
      </c>
      <c r="B138" s="4" t="s">
        <v>7</v>
      </c>
    </row>
    <row r="139" spans="1:2" s="114" customFormat="1" x14ac:dyDescent="0.25">
      <c r="A139" s="4" t="s">
        <v>72</v>
      </c>
      <c r="B139" s="4" t="s">
        <v>7</v>
      </c>
    </row>
    <row r="140" spans="1:2" s="114" customFormat="1" x14ac:dyDescent="0.25">
      <c r="A140" s="4" t="s">
        <v>69</v>
      </c>
      <c r="B140" s="4" t="s">
        <v>7</v>
      </c>
    </row>
    <row r="141" spans="1:2" s="114" customFormat="1" x14ac:dyDescent="0.25">
      <c r="A141" s="4" t="s">
        <v>69</v>
      </c>
      <c r="B141" s="4" t="s">
        <v>7</v>
      </c>
    </row>
    <row r="142" spans="1:2" s="114" customFormat="1" x14ac:dyDescent="0.25">
      <c r="A142" s="4" t="s">
        <v>68</v>
      </c>
      <c r="B142" s="4" t="s">
        <v>7</v>
      </c>
    </row>
    <row r="143" spans="1:2" s="114" customFormat="1" x14ac:dyDescent="0.25">
      <c r="A143" s="4" t="s">
        <v>68</v>
      </c>
      <c r="B143" s="4" t="s">
        <v>7</v>
      </c>
    </row>
    <row r="144" spans="1:2" s="114" customFormat="1" x14ac:dyDescent="0.25">
      <c r="A144" s="4" t="s">
        <v>62</v>
      </c>
      <c r="B144" s="4" t="s">
        <v>7</v>
      </c>
    </row>
    <row r="145" spans="1:2" s="114" customFormat="1" x14ac:dyDescent="0.25">
      <c r="A145" s="4" t="s">
        <v>62</v>
      </c>
      <c r="B145" s="4" t="s">
        <v>7</v>
      </c>
    </row>
    <row r="146" spans="1:2" s="114" customFormat="1" x14ac:dyDescent="0.25">
      <c r="A146" s="4" t="s">
        <v>71</v>
      </c>
      <c r="B146" s="4" t="s">
        <v>7</v>
      </c>
    </row>
    <row r="147" spans="1:2" s="114" customFormat="1" x14ac:dyDescent="0.25">
      <c r="A147" s="4" t="s">
        <v>72</v>
      </c>
      <c r="B147" s="4" t="s">
        <v>7</v>
      </c>
    </row>
    <row r="148" spans="1:2" s="114" customFormat="1" x14ac:dyDescent="0.25">
      <c r="A148" s="4" t="s">
        <v>72</v>
      </c>
      <c r="B148" s="4" t="s">
        <v>7</v>
      </c>
    </row>
    <row r="149" spans="1:2" s="114" customFormat="1" x14ac:dyDescent="0.25">
      <c r="A149" s="4" t="s">
        <v>72</v>
      </c>
      <c r="B149" s="4" t="s">
        <v>7</v>
      </c>
    </row>
    <row r="150" spans="1:2" s="114" customFormat="1" x14ac:dyDescent="0.25">
      <c r="A150" s="4" t="s">
        <v>72</v>
      </c>
      <c r="B150" s="4" t="s">
        <v>7</v>
      </c>
    </row>
    <row r="151" spans="1:2" s="114" customFormat="1" x14ac:dyDescent="0.25">
      <c r="A151" s="4" t="s">
        <v>62</v>
      </c>
      <c r="B151" s="4" t="s">
        <v>7</v>
      </c>
    </row>
    <row r="152" spans="1:2" s="114" customFormat="1" x14ac:dyDescent="0.25">
      <c r="A152" s="4" t="s">
        <v>62</v>
      </c>
      <c r="B152" s="4" t="s">
        <v>7</v>
      </c>
    </row>
    <row r="153" spans="1:2" s="114" customFormat="1" x14ac:dyDescent="0.25">
      <c r="A153" s="4" t="s">
        <v>75</v>
      </c>
      <c r="B153" s="4" t="s">
        <v>7</v>
      </c>
    </row>
    <row r="154" spans="1:2" s="114" customFormat="1" x14ac:dyDescent="0.25">
      <c r="A154" s="4" t="s">
        <v>61</v>
      </c>
      <c r="B154" s="4" t="s">
        <v>7</v>
      </c>
    </row>
    <row r="155" spans="1:2" s="114" customFormat="1" x14ac:dyDescent="0.25">
      <c r="A155" s="4" t="s">
        <v>66</v>
      </c>
      <c r="B155" s="4" t="s">
        <v>7</v>
      </c>
    </row>
    <row r="156" spans="1:2" s="114" customFormat="1" x14ac:dyDescent="0.25">
      <c r="A156" s="4" t="s">
        <v>68</v>
      </c>
      <c r="B156" s="4" t="s">
        <v>7</v>
      </c>
    </row>
    <row r="157" spans="1:2" s="114" customFormat="1" x14ac:dyDescent="0.25">
      <c r="A157" s="4" t="s">
        <v>72</v>
      </c>
      <c r="B157" s="4" t="s">
        <v>7</v>
      </c>
    </row>
    <row r="158" spans="1:2" s="114" customFormat="1" x14ac:dyDescent="0.25">
      <c r="A158" s="4" t="s">
        <v>68</v>
      </c>
      <c r="B158" s="4" t="s">
        <v>7</v>
      </c>
    </row>
    <row r="159" spans="1:2" s="114" customFormat="1" x14ac:dyDescent="0.25">
      <c r="A159" s="4" t="s">
        <v>60</v>
      </c>
      <c r="B159" s="4" t="s">
        <v>7</v>
      </c>
    </row>
    <row r="160" spans="1:2" s="114" customFormat="1" x14ac:dyDescent="0.25">
      <c r="A160" s="4" t="s">
        <v>73</v>
      </c>
      <c r="B160" s="4" t="s">
        <v>7</v>
      </c>
    </row>
    <row r="161" spans="1:2" s="114" customFormat="1" x14ac:dyDescent="0.25">
      <c r="A161" s="4" t="s">
        <v>68</v>
      </c>
      <c r="B161" s="4" t="s">
        <v>7</v>
      </c>
    </row>
    <row r="162" spans="1:2" s="114" customFormat="1" x14ac:dyDescent="0.25">
      <c r="A162" s="4" t="s">
        <v>73</v>
      </c>
      <c r="B162" s="4" t="s">
        <v>7</v>
      </c>
    </row>
    <row r="163" spans="1:2" s="114" customFormat="1" x14ac:dyDescent="0.25">
      <c r="A163" s="4" t="s">
        <v>62</v>
      </c>
      <c r="B163" s="4" t="s">
        <v>7</v>
      </c>
    </row>
    <row r="164" spans="1:2" s="114" customFormat="1" x14ac:dyDescent="0.25">
      <c r="A164" s="4" t="s">
        <v>73</v>
      </c>
      <c r="B164" s="4" t="s">
        <v>7</v>
      </c>
    </row>
    <row r="165" spans="1:2" s="114" customFormat="1" x14ac:dyDescent="0.25">
      <c r="A165" s="4" t="s">
        <v>62</v>
      </c>
      <c r="B165" s="4" t="s">
        <v>16</v>
      </c>
    </row>
    <row r="166" spans="1:2" s="114" customFormat="1" x14ac:dyDescent="0.25">
      <c r="A166" s="4" t="s">
        <v>75</v>
      </c>
      <c r="B166" s="4" t="s">
        <v>16</v>
      </c>
    </row>
    <row r="167" spans="1:2" s="114" customFormat="1" x14ac:dyDescent="0.25">
      <c r="A167" s="4" t="s">
        <v>68</v>
      </c>
      <c r="B167" s="4" t="s">
        <v>16</v>
      </c>
    </row>
    <row r="168" spans="1:2" s="114" customFormat="1" x14ac:dyDescent="0.25">
      <c r="A168" s="4" t="s">
        <v>67</v>
      </c>
      <c r="B168" s="4" t="s">
        <v>16</v>
      </c>
    </row>
    <row r="169" spans="1:2" s="114" customFormat="1" x14ac:dyDescent="0.25">
      <c r="A169" s="4" t="s">
        <v>67</v>
      </c>
      <c r="B169" s="4" t="s">
        <v>16</v>
      </c>
    </row>
    <row r="170" spans="1:2" s="114" customFormat="1" x14ac:dyDescent="0.25">
      <c r="A170" s="4" t="s">
        <v>67</v>
      </c>
      <c r="B170" s="4" t="s">
        <v>16</v>
      </c>
    </row>
    <row r="171" spans="1:2" s="114" customFormat="1" x14ac:dyDescent="0.25">
      <c r="A171" s="4" t="s">
        <v>67</v>
      </c>
      <c r="B171" s="4" t="s">
        <v>16</v>
      </c>
    </row>
    <row r="172" spans="1:2" s="114" customFormat="1" x14ac:dyDescent="0.25">
      <c r="A172" s="4" t="s">
        <v>67</v>
      </c>
      <c r="B172" s="4" t="s">
        <v>16</v>
      </c>
    </row>
    <row r="173" spans="1:2" s="114" customFormat="1" x14ac:dyDescent="0.25">
      <c r="A173" s="4" t="s">
        <v>72</v>
      </c>
      <c r="B173" s="4" t="s">
        <v>16</v>
      </c>
    </row>
    <row r="174" spans="1:2" s="114" customFormat="1" x14ac:dyDescent="0.25">
      <c r="A174" s="4" t="s">
        <v>72</v>
      </c>
      <c r="B174" s="4" t="s">
        <v>16</v>
      </c>
    </row>
    <row r="175" spans="1:2" s="114" customFormat="1" x14ac:dyDescent="0.25">
      <c r="A175" s="4" t="s">
        <v>72</v>
      </c>
      <c r="B175" s="4" t="s">
        <v>16</v>
      </c>
    </row>
    <row r="176" spans="1:2" s="114" customFormat="1" x14ac:dyDescent="0.25">
      <c r="A176" s="4" t="s">
        <v>72</v>
      </c>
      <c r="B176" s="4" t="s">
        <v>16</v>
      </c>
    </row>
    <row r="177" spans="1:2" s="114" customFormat="1" x14ac:dyDescent="0.25">
      <c r="A177" s="4" t="s">
        <v>62</v>
      </c>
      <c r="B177" s="4" t="s">
        <v>16</v>
      </c>
    </row>
    <row r="178" spans="1:2" s="114" customFormat="1" x14ac:dyDescent="0.25">
      <c r="A178" s="4" t="s">
        <v>75</v>
      </c>
      <c r="B178" s="4" t="s">
        <v>16</v>
      </c>
    </row>
    <row r="179" spans="1:2" s="114" customFormat="1" x14ac:dyDescent="0.25">
      <c r="A179" s="4" t="s">
        <v>75</v>
      </c>
      <c r="B179" s="4" t="s">
        <v>16</v>
      </c>
    </row>
    <row r="180" spans="1:2" s="114" customFormat="1" x14ac:dyDescent="0.25">
      <c r="A180" s="4" t="s">
        <v>69</v>
      </c>
      <c r="B180" s="4" t="s">
        <v>16</v>
      </c>
    </row>
    <row r="181" spans="1:2" s="114" customFormat="1" x14ac:dyDescent="0.25">
      <c r="A181" s="4" t="s">
        <v>68</v>
      </c>
      <c r="B181" s="4" t="s">
        <v>16</v>
      </c>
    </row>
    <row r="182" spans="1:2" s="114" customFormat="1" x14ac:dyDescent="0.25">
      <c r="A182" s="4" t="s">
        <v>68</v>
      </c>
      <c r="B182" s="4" t="s">
        <v>16</v>
      </c>
    </row>
    <row r="183" spans="1:2" s="114" customFormat="1" x14ac:dyDescent="0.25">
      <c r="A183" s="4" t="s">
        <v>68</v>
      </c>
      <c r="B183" s="4" t="s">
        <v>16</v>
      </c>
    </row>
    <row r="184" spans="1:2" s="114" customFormat="1" x14ac:dyDescent="0.25">
      <c r="A184" s="4" t="s">
        <v>68</v>
      </c>
      <c r="B184" s="4" t="s">
        <v>16</v>
      </c>
    </row>
    <row r="185" spans="1:2" s="114" customFormat="1" x14ac:dyDescent="0.25">
      <c r="A185" s="4" t="s">
        <v>67</v>
      </c>
      <c r="B185" s="4" t="s">
        <v>16</v>
      </c>
    </row>
    <row r="186" spans="1:2" s="114" customFormat="1" x14ac:dyDescent="0.25">
      <c r="A186" s="4" t="s">
        <v>67</v>
      </c>
      <c r="B186" s="4" t="s">
        <v>16</v>
      </c>
    </row>
    <row r="187" spans="1:2" s="114" customFormat="1" x14ac:dyDescent="0.25">
      <c r="A187" s="4" t="s">
        <v>72</v>
      </c>
      <c r="B187" s="4" t="s">
        <v>16</v>
      </c>
    </row>
    <row r="188" spans="1:2" s="114" customFormat="1" x14ac:dyDescent="0.25">
      <c r="A188" s="4" t="s">
        <v>72</v>
      </c>
      <c r="B188" s="4" t="s">
        <v>16</v>
      </c>
    </row>
    <row r="189" spans="1:2" s="114" customFormat="1" x14ac:dyDescent="0.25">
      <c r="A189" s="4" t="s">
        <v>68</v>
      </c>
      <c r="B189" s="4" t="s">
        <v>16</v>
      </c>
    </row>
    <row r="190" spans="1:2" s="114" customFormat="1" x14ac:dyDescent="0.25">
      <c r="A190" s="4" t="s">
        <v>65</v>
      </c>
      <c r="B190" s="4" t="s">
        <v>16</v>
      </c>
    </row>
    <row r="191" spans="1:2" s="114" customFormat="1" x14ac:dyDescent="0.25">
      <c r="A191" s="4" t="s">
        <v>67</v>
      </c>
      <c r="B191" s="4" t="s">
        <v>16</v>
      </c>
    </row>
    <row r="192" spans="1:2" s="114" customFormat="1" x14ac:dyDescent="0.25">
      <c r="A192" s="4" t="s">
        <v>67</v>
      </c>
      <c r="B192" s="4" t="s">
        <v>16</v>
      </c>
    </row>
    <row r="193" spans="1:2" s="114" customFormat="1" x14ac:dyDescent="0.25">
      <c r="A193" s="4" t="s">
        <v>67</v>
      </c>
      <c r="B193" s="4" t="s">
        <v>16</v>
      </c>
    </row>
    <row r="194" spans="1:2" s="114" customFormat="1" x14ac:dyDescent="0.25">
      <c r="A194" s="4" t="s">
        <v>72</v>
      </c>
      <c r="B194" s="4" t="s">
        <v>16</v>
      </c>
    </row>
    <row r="195" spans="1:2" s="114" customFormat="1" x14ac:dyDescent="0.25">
      <c r="A195" s="4" t="s">
        <v>62</v>
      </c>
      <c r="B195" s="4" t="s">
        <v>16</v>
      </c>
    </row>
    <row r="196" spans="1:2" s="114" customFormat="1" x14ac:dyDescent="0.25">
      <c r="A196" s="4" t="s">
        <v>75</v>
      </c>
      <c r="B196" s="4" t="s">
        <v>16</v>
      </c>
    </row>
    <row r="197" spans="1:2" s="114" customFormat="1" x14ac:dyDescent="0.25">
      <c r="A197" s="4" t="s">
        <v>69</v>
      </c>
      <c r="B197" s="4" t="s">
        <v>16</v>
      </c>
    </row>
    <row r="198" spans="1:2" s="114" customFormat="1" x14ac:dyDescent="0.25">
      <c r="A198" s="4" t="s">
        <v>68</v>
      </c>
      <c r="B198" s="4" t="s">
        <v>16</v>
      </c>
    </row>
    <row r="199" spans="1:2" s="114" customFormat="1" x14ac:dyDescent="0.25">
      <c r="A199" s="4" t="s">
        <v>72</v>
      </c>
      <c r="B199" s="4" t="s">
        <v>16</v>
      </c>
    </row>
    <row r="200" spans="1:2" s="114" customFormat="1" x14ac:dyDescent="0.25">
      <c r="A200" s="4" t="s">
        <v>72</v>
      </c>
      <c r="B200" s="4" t="s">
        <v>16</v>
      </c>
    </row>
    <row r="201" spans="1:2" s="114" customFormat="1" x14ac:dyDescent="0.25">
      <c r="A201" s="4" t="s">
        <v>72</v>
      </c>
      <c r="B201" s="4" t="s">
        <v>16</v>
      </c>
    </row>
    <row r="202" spans="1:2" s="114" customFormat="1" x14ac:dyDescent="0.25">
      <c r="A202" s="4" t="s">
        <v>69</v>
      </c>
      <c r="B202" s="4" t="s">
        <v>16</v>
      </c>
    </row>
    <row r="203" spans="1:2" s="114" customFormat="1" x14ac:dyDescent="0.25">
      <c r="A203" s="4" t="s">
        <v>73</v>
      </c>
      <c r="B203" s="4" t="s">
        <v>16</v>
      </c>
    </row>
    <row r="204" spans="1:2" s="114" customFormat="1" x14ac:dyDescent="0.25">
      <c r="A204" s="4" t="s">
        <v>67</v>
      </c>
      <c r="B204" s="4" t="s">
        <v>17</v>
      </c>
    </row>
    <row r="205" spans="1:2" s="114" customFormat="1" x14ac:dyDescent="0.25">
      <c r="A205" s="4" t="s">
        <v>67</v>
      </c>
      <c r="B205" s="4" t="s">
        <v>17</v>
      </c>
    </row>
    <row r="206" spans="1:2" s="114" customFormat="1" x14ac:dyDescent="0.25">
      <c r="A206" s="4" t="s">
        <v>71</v>
      </c>
      <c r="B206" s="4" t="s">
        <v>17</v>
      </c>
    </row>
    <row r="207" spans="1:2" s="114" customFormat="1" x14ac:dyDescent="0.25">
      <c r="A207" s="4" t="s">
        <v>72</v>
      </c>
      <c r="B207" s="4" t="s">
        <v>17</v>
      </c>
    </row>
    <row r="208" spans="1:2" s="114" customFormat="1" x14ac:dyDescent="0.25">
      <c r="A208" s="4" t="s">
        <v>72</v>
      </c>
      <c r="B208" s="4" t="s">
        <v>17</v>
      </c>
    </row>
    <row r="209" spans="1:2" s="114" customFormat="1" x14ac:dyDescent="0.25">
      <c r="A209" s="4" t="s">
        <v>72</v>
      </c>
      <c r="B209" s="4" t="s">
        <v>17</v>
      </c>
    </row>
    <row r="210" spans="1:2" s="114" customFormat="1" x14ac:dyDescent="0.25">
      <c r="A210" s="4" t="s">
        <v>72</v>
      </c>
      <c r="B210" s="4" t="s">
        <v>17</v>
      </c>
    </row>
    <row r="211" spans="1:2" s="114" customFormat="1" x14ac:dyDescent="0.25">
      <c r="A211" s="4" t="s">
        <v>62</v>
      </c>
      <c r="B211" s="4" t="s">
        <v>17</v>
      </c>
    </row>
    <row r="212" spans="1:2" s="114" customFormat="1" x14ac:dyDescent="0.25">
      <c r="A212" s="4" t="s">
        <v>75</v>
      </c>
      <c r="B212" s="4" t="s">
        <v>17</v>
      </c>
    </row>
    <row r="213" spans="1:2" s="114" customFormat="1" x14ac:dyDescent="0.25">
      <c r="A213" s="4" t="s">
        <v>75</v>
      </c>
      <c r="B213" s="4" t="s">
        <v>17</v>
      </c>
    </row>
    <row r="214" spans="1:2" s="114" customFormat="1" x14ac:dyDescent="0.25">
      <c r="A214" s="4" t="s">
        <v>68</v>
      </c>
      <c r="B214" s="4" t="s">
        <v>17</v>
      </c>
    </row>
    <row r="215" spans="1:2" s="114" customFormat="1" x14ac:dyDescent="0.25">
      <c r="A215" s="4" t="s">
        <v>68</v>
      </c>
      <c r="B215" s="4" t="s">
        <v>17</v>
      </c>
    </row>
    <row r="216" spans="1:2" s="114" customFormat="1" x14ac:dyDescent="0.25">
      <c r="A216" s="4" t="s">
        <v>68</v>
      </c>
      <c r="B216" s="4" t="s">
        <v>17</v>
      </c>
    </row>
    <row r="217" spans="1:2" s="114" customFormat="1" x14ac:dyDescent="0.25">
      <c r="A217" s="4" t="s">
        <v>68</v>
      </c>
      <c r="B217" s="4" t="s">
        <v>17</v>
      </c>
    </row>
    <row r="218" spans="1:2" s="114" customFormat="1" x14ac:dyDescent="0.25">
      <c r="A218" s="4" t="s">
        <v>68</v>
      </c>
      <c r="B218" s="4" t="s">
        <v>17</v>
      </c>
    </row>
    <row r="219" spans="1:2" s="114" customFormat="1" x14ac:dyDescent="0.25">
      <c r="A219" s="4" t="s">
        <v>68</v>
      </c>
      <c r="B219" s="4" t="s">
        <v>17</v>
      </c>
    </row>
    <row r="220" spans="1:2" s="114" customFormat="1" x14ac:dyDescent="0.25">
      <c r="A220" s="4" t="s">
        <v>68</v>
      </c>
      <c r="B220" s="4" t="s">
        <v>17</v>
      </c>
    </row>
    <row r="221" spans="1:2" s="114" customFormat="1" x14ac:dyDescent="0.25">
      <c r="A221" s="4" t="s">
        <v>68</v>
      </c>
      <c r="B221" s="4" t="s">
        <v>17</v>
      </c>
    </row>
    <row r="222" spans="1:2" s="114" customFormat="1" x14ac:dyDescent="0.25">
      <c r="A222" s="4" t="s">
        <v>68</v>
      </c>
      <c r="B222" s="4" t="s">
        <v>17</v>
      </c>
    </row>
    <row r="223" spans="1:2" s="114" customFormat="1" x14ac:dyDescent="0.25">
      <c r="A223" s="4" t="s">
        <v>68</v>
      </c>
      <c r="B223" s="4" t="s">
        <v>17</v>
      </c>
    </row>
    <row r="224" spans="1:2" s="114" customFormat="1" x14ac:dyDescent="0.25">
      <c r="A224" s="4" t="s">
        <v>68</v>
      </c>
      <c r="B224" s="4" t="s">
        <v>17</v>
      </c>
    </row>
    <row r="225" spans="1:2" s="114" customFormat="1" x14ac:dyDescent="0.25">
      <c r="A225" s="4" t="s">
        <v>68</v>
      </c>
      <c r="B225" s="4" t="s">
        <v>17</v>
      </c>
    </row>
    <row r="226" spans="1:2" s="114" customFormat="1" x14ac:dyDescent="0.25">
      <c r="A226" s="4" t="s">
        <v>68</v>
      </c>
      <c r="B226" s="4" t="s">
        <v>17</v>
      </c>
    </row>
    <row r="227" spans="1:2" s="114" customFormat="1" x14ac:dyDescent="0.25">
      <c r="A227" s="4" t="s">
        <v>68</v>
      </c>
      <c r="B227" s="4" t="s">
        <v>17</v>
      </c>
    </row>
    <row r="228" spans="1:2" s="114" customFormat="1" x14ac:dyDescent="0.25">
      <c r="A228" s="4" t="s">
        <v>68</v>
      </c>
      <c r="B228" s="4" t="s">
        <v>17</v>
      </c>
    </row>
    <row r="229" spans="1:2" s="114" customFormat="1" x14ac:dyDescent="0.25">
      <c r="A229" s="4" t="s">
        <v>68</v>
      </c>
      <c r="B229" s="4" t="s">
        <v>17</v>
      </c>
    </row>
    <row r="230" spans="1:2" s="114" customFormat="1" x14ac:dyDescent="0.25">
      <c r="A230" s="4" t="s">
        <v>67</v>
      </c>
      <c r="B230" s="4" t="s">
        <v>17</v>
      </c>
    </row>
    <row r="231" spans="1:2" s="114" customFormat="1" x14ac:dyDescent="0.25">
      <c r="A231" s="4" t="s">
        <v>72</v>
      </c>
      <c r="B231" s="4" t="s">
        <v>17</v>
      </c>
    </row>
    <row r="232" spans="1:2" s="114" customFormat="1" x14ac:dyDescent="0.25">
      <c r="A232" s="4" t="s">
        <v>72</v>
      </c>
      <c r="B232" s="4" t="s">
        <v>17</v>
      </c>
    </row>
    <row r="233" spans="1:2" s="114" customFormat="1" x14ac:dyDescent="0.25">
      <c r="A233" s="4" t="s">
        <v>72</v>
      </c>
      <c r="B233" s="4" t="s">
        <v>17</v>
      </c>
    </row>
    <row r="234" spans="1:2" s="114" customFormat="1" x14ac:dyDescent="0.25">
      <c r="A234" s="4" t="s">
        <v>72</v>
      </c>
      <c r="B234" s="4" t="s">
        <v>17</v>
      </c>
    </row>
    <row r="235" spans="1:2" s="114" customFormat="1" x14ac:dyDescent="0.25">
      <c r="A235" s="4" t="s">
        <v>72</v>
      </c>
      <c r="B235" s="4" t="s">
        <v>17</v>
      </c>
    </row>
    <row r="236" spans="1:2" s="114" customFormat="1" x14ac:dyDescent="0.25">
      <c r="A236" s="4" t="s">
        <v>72</v>
      </c>
      <c r="B236" s="4" t="s">
        <v>17</v>
      </c>
    </row>
    <row r="237" spans="1:2" s="114" customFormat="1" x14ac:dyDescent="0.25">
      <c r="A237" s="4" t="s">
        <v>62</v>
      </c>
      <c r="B237" s="4" t="s">
        <v>17</v>
      </c>
    </row>
    <row r="238" spans="1:2" s="114" customFormat="1" x14ac:dyDescent="0.25">
      <c r="A238" s="4" t="s">
        <v>62</v>
      </c>
      <c r="B238" s="4" t="s">
        <v>17</v>
      </c>
    </row>
    <row r="239" spans="1:2" s="114" customFormat="1" x14ac:dyDescent="0.25">
      <c r="A239" s="4" t="s">
        <v>75</v>
      </c>
      <c r="B239" s="4" t="s">
        <v>17</v>
      </c>
    </row>
    <row r="240" spans="1:2" s="114" customFormat="1" x14ac:dyDescent="0.25">
      <c r="A240" s="4" t="s">
        <v>75</v>
      </c>
      <c r="B240" s="4" t="s">
        <v>17</v>
      </c>
    </row>
    <row r="241" spans="1:2" s="114" customFormat="1" x14ac:dyDescent="0.25">
      <c r="A241" s="4" t="s">
        <v>75</v>
      </c>
      <c r="B241" s="4" t="s">
        <v>17</v>
      </c>
    </row>
    <row r="242" spans="1:2" s="114" customFormat="1" x14ac:dyDescent="0.25">
      <c r="A242" s="4" t="s">
        <v>75</v>
      </c>
      <c r="B242" s="4" t="s">
        <v>17</v>
      </c>
    </row>
    <row r="243" spans="1:2" s="114" customFormat="1" x14ac:dyDescent="0.25">
      <c r="A243" s="4" t="s">
        <v>75</v>
      </c>
      <c r="B243" s="4" t="s">
        <v>17</v>
      </c>
    </row>
    <row r="244" spans="1:2" s="114" customFormat="1" x14ac:dyDescent="0.25">
      <c r="A244" s="4" t="s">
        <v>69</v>
      </c>
      <c r="B244" s="4" t="s">
        <v>17</v>
      </c>
    </row>
    <row r="245" spans="1:2" s="114" customFormat="1" x14ac:dyDescent="0.25">
      <c r="A245" s="4" t="s">
        <v>69</v>
      </c>
      <c r="B245" s="4" t="s">
        <v>17</v>
      </c>
    </row>
    <row r="246" spans="1:2" s="114" customFormat="1" x14ac:dyDescent="0.25">
      <c r="A246" s="4" t="s">
        <v>69</v>
      </c>
      <c r="B246" s="4" t="s">
        <v>17</v>
      </c>
    </row>
    <row r="247" spans="1:2" s="114" customFormat="1" x14ac:dyDescent="0.25">
      <c r="A247" s="4" t="s">
        <v>69</v>
      </c>
      <c r="B247" s="4" t="s">
        <v>17</v>
      </c>
    </row>
    <row r="248" spans="1:2" s="114" customFormat="1" x14ac:dyDescent="0.25">
      <c r="A248" s="4" t="s">
        <v>64</v>
      </c>
      <c r="B248" s="4" t="s">
        <v>17</v>
      </c>
    </row>
    <row r="249" spans="1:2" s="114" customFormat="1" x14ac:dyDescent="0.25">
      <c r="A249" s="4" t="s">
        <v>68</v>
      </c>
      <c r="B249" s="4" t="s">
        <v>17</v>
      </c>
    </row>
    <row r="250" spans="1:2" s="114" customFormat="1" x14ac:dyDescent="0.25">
      <c r="A250" s="4" t="s">
        <v>68</v>
      </c>
      <c r="B250" s="4" t="s">
        <v>17</v>
      </c>
    </row>
    <row r="251" spans="1:2" s="114" customFormat="1" x14ac:dyDescent="0.25">
      <c r="A251" s="4" t="s">
        <v>68</v>
      </c>
      <c r="B251" s="4" t="s">
        <v>17</v>
      </c>
    </row>
    <row r="252" spans="1:2" s="114" customFormat="1" x14ac:dyDescent="0.25">
      <c r="A252" s="4" t="s">
        <v>68</v>
      </c>
      <c r="B252" s="4" t="s">
        <v>17</v>
      </c>
    </row>
    <row r="253" spans="1:2" s="114" customFormat="1" x14ac:dyDescent="0.25">
      <c r="A253" s="4" t="s">
        <v>68</v>
      </c>
      <c r="B253" s="4" t="s">
        <v>17</v>
      </c>
    </row>
    <row r="254" spans="1:2" s="114" customFormat="1" x14ac:dyDescent="0.25">
      <c r="A254" s="4" t="s">
        <v>68</v>
      </c>
      <c r="B254" s="4" t="s">
        <v>17</v>
      </c>
    </row>
    <row r="255" spans="1:2" s="114" customFormat="1" x14ac:dyDescent="0.25">
      <c r="A255" s="4" t="s">
        <v>68</v>
      </c>
      <c r="B255" s="4" t="s">
        <v>17</v>
      </c>
    </row>
    <row r="256" spans="1:2" s="114" customFormat="1" x14ac:dyDescent="0.25">
      <c r="A256" s="4" t="s">
        <v>68</v>
      </c>
      <c r="B256" s="4" t="s">
        <v>17</v>
      </c>
    </row>
    <row r="257" spans="1:2" s="114" customFormat="1" x14ac:dyDescent="0.25">
      <c r="A257" s="4" t="s">
        <v>68</v>
      </c>
      <c r="B257" s="4" t="s">
        <v>17</v>
      </c>
    </row>
    <row r="258" spans="1:2" s="114" customFormat="1" x14ac:dyDescent="0.25">
      <c r="A258" s="4" t="s">
        <v>68</v>
      </c>
      <c r="B258" s="4" t="s">
        <v>17</v>
      </c>
    </row>
    <row r="259" spans="1:2" s="114" customFormat="1" x14ac:dyDescent="0.25">
      <c r="A259" s="4" t="s">
        <v>68</v>
      </c>
      <c r="B259" s="4" t="s">
        <v>17</v>
      </c>
    </row>
    <row r="260" spans="1:2" s="114" customFormat="1" x14ac:dyDescent="0.25">
      <c r="A260" s="4" t="s">
        <v>68</v>
      </c>
      <c r="B260" s="4" t="s">
        <v>17</v>
      </c>
    </row>
    <row r="261" spans="1:2" s="114" customFormat="1" x14ac:dyDescent="0.25">
      <c r="A261" s="4" t="s">
        <v>68</v>
      </c>
      <c r="B261" s="4" t="s">
        <v>17</v>
      </c>
    </row>
    <row r="262" spans="1:2" s="114" customFormat="1" x14ac:dyDescent="0.25">
      <c r="A262" s="4" t="s">
        <v>68</v>
      </c>
      <c r="B262" s="4" t="s">
        <v>17</v>
      </c>
    </row>
    <row r="263" spans="1:2" s="114" customFormat="1" x14ac:dyDescent="0.25">
      <c r="A263" s="4" t="s">
        <v>68</v>
      </c>
      <c r="B263" s="4" t="s">
        <v>17</v>
      </c>
    </row>
    <row r="264" spans="1:2" s="114" customFormat="1" x14ac:dyDescent="0.25">
      <c r="A264" s="4" t="s">
        <v>67</v>
      </c>
      <c r="B264" s="4" t="s">
        <v>17</v>
      </c>
    </row>
    <row r="265" spans="1:2" s="114" customFormat="1" x14ac:dyDescent="0.25">
      <c r="A265" s="4" t="s">
        <v>72</v>
      </c>
      <c r="B265" s="4" t="s">
        <v>17</v>
      </c>
    </row>
    <row r="266" spans="1:2" s="114" customFormat="1" x14ac:dyDescent="0.25">
      <c r="A266" s="4" t="s">
        <v>72</v>
      </c>
      <c r="B266" s="4" t="s">
        <v>17</v>
      </c>
    </row>
    <row r="267" spans="1:2" s="114" customFormat="1" x14ac:dyDescent="0.25">
      <c r="A267" s="4" t="s">
        <v>69</v>
      </c>
      <c r="B267" s="4" t="s">
        <v>17</v>
      </c>
    </row>
    <row r="268" spans="1:2" s="114" customFormat="1" x14ac:dyDescent="0.25">
      <c r="A268" s="4" t="s">
        <v>69</v>
      </c>
      <c r="B268" s="4" t="s">
        <v>17</v>
      </c>
    </row>
    <row r="269" spans="1:2" s="114" customFormat="1" x14ac:dyDescent="0.25">
      <c r="A269" s="4" t="s">
        <v>68</v>
      </c>
      <c r="B269" s="4" t="s">
        <v>17</v>
      </c>
    </row>
    <row r="270" spans="1:2" s="114" customFormat="1" x14ac:dyDescent="0.25">
      <c r="A270" s="4" t="s">
        <v>67</v>
      </c>
      <c r="B270" s="4" t="s">
        <v>17</v>
      </c>
    </row>
    <row r="271" spans="1:2" s="114" customFormat="1" x14ac:dyDescent="0.25">
      <c r="A271" s="4" t="s">
        <v>67</v>
      </c>
      <c r="B271" s="4" t="s">
        <v>17</v>
      </c>
    </row>
    <row r="272" spans="1:2" s="114" customFormat="1" x14ac:dyDescent="0.25">
      <c r="A272" s="4" t="s">
        <v>72</v>
      </c>
      <c r="B272" s="4" t="s">
        <v>17</v>
      </c>
    </row>
    <row r="273" spans="1:2" s="114" customFormat="1" x14ac:dyDescent="0.25">
      <c r="A273" s="4" t="s">
        <v>72</v>
      </c>
      <c r="B273" s="4" t="s">
        <v>17</v>
      </c>
    </row>
    <row r="274" spans="1:2" s="114" customFormat="1" x14ac:dyDescent="0.25">
      <c r="A274" s="4" t="s">
        <v>72</v>
      </c>
      <c r="B274" s="4" t="s">
        <v>17</v>
      </c>
    </row>
    <row r="275" spans="1:2" s="114" customFormat="1" x14ac:dyDescent="0.25">
      <c r="A275" s="4" t="s">
        <v>72</v>
      </c>
      <c r="B275" s="4" t="s">
        <v>17</v>
      </c>
    </row>
    <row r="276" spans="1:2" s="114" customFormat="1" x14ac:dyDescent="0.25">
      <c r="A276" s="4" t="s">
        <v>62</v>
      </c>
      <c r="B276" s="4" t="s">
        <v>17</v>
      </c>
    </row>
    <row r="277" spans="1:2" s="114" customFormat="1" x14ac:dyDescent="0.25">
      <c r="A277" s="4" t="s">
        <v>62</v>
      </c>
      <c r="B277" s="4" t="s">
        <v>17</v>
      </c>
    </row>
    <row r="278" spans="1:2" s="114" customFormat="1" x14ac:dyDescent="0.25">
      <c r="A278" s="4" t="s">
        <v>62</v>
      </c>
      <c r="B278" s="4" t="s">
        <v>17</v>
      </c>
    </row>
    <row r="279" spans="1:2" s="114" customFormat="1" x14ac:dyDescent="0.25">
      <c r="A279" s="4" t="s">
        <v>68</v>
      </c>
      <c r="B279" s="4" t="s">
        <v>17</v>
      </c>
    </row>
    <row r="280" spans="1:2" s="114" customFormat="1" x14ac:dyDescent="0.25">
      <c r="A280" s="4" t="s">
        <v>68</v>
      </c>
      <c r="B280" s="4" t="s">
        <v>17</v>
      </c>
    </row>
    <row r="281" spans="1:2" s="114" customFormat="1" x14ac:dyDescent="0.25">
      <c r="A281" s="4" t="s">
        <v>68</v>
      </c>
      <c r="B281" s="4" t="s">
        <v>17</v>
      </c>
    </row>
    <row r="282" spans="1:2" s="114" customFormat="1" x14ac:dyDescent="0.25">
      <c r="A282" s="4" t="s">
        <v>67</v>
      </c>
      <c r="B282" s="4" t="s">
        <v>17</v>
      </c>
    </row>
    <row r="283" spans="1:2" s="114" customFormat="1" x14ac:dyDescent="0.25">
      <c r="A283" s="4" t="s">
        <v>67</v>
      </c>
      <c r="B283" s="4" t="s">
        <v>17</v>
      </c>
    </row>
    <row r="284" spans="1:2" s="114" customFormat="1" x14ac:dyDescent="0.25">
      <c r="A284" s="4" t="s">
        <v>67</v>
      </c>
      <c r="B284" s="4" t="s">
        <v>17</v>
      </c>
    </row>
    <row r="285" spans="1:2" s="114" customFormat="1" x14ac:dyDescent="0.25">
      <c r="A285" s="4" t="s">
        <v>71</v>
      </c>
      <c r="B285" s="4" t="s">
        <v>17</v>
      </c>
    </row>
    <row r="286" spans="1:2" s="114" customFormat="1" x14ac:dyDescent="0.25">
      <c r="A286" s="4" t="s">
        <v>72</v>
      </c>
      <c r="B286" s="4" t="s">
        <v>17</v>
      </c>
    </row>
    <row r="287" spans="1:2" s="114" customFormat="1" x14ac:dyDescent="0.25">
      <c r="A287" s="4" t="s">
        <v>72</v>
      </c>
      <c r="B287" s="4" t="s">
        <v>17</v>
      </c>
    </row>
    <row r="288" spans="1:2" s="114" customFormat="1" x14ac:dyDescent="0.25">
      <c r="A288" s="4" t="s">
        <v>72</v>
      </c>
      <c r="B288" s="4" t="s">
        <v>17</v>
      </c>
    </row>
    <row r="289" spans="1:2" s="114" customFormat="1" x14ac:dyDescent="0.25">
      <c r="A289" s="4" t="s">
        <v>72</v>
      </c>
      <c r="B289" s="4" t="s">
        <v>17</v>
      </c>
    </row>
    <row r="290" spans="1:2" s="114" customFormat="1" x14ac:dyDescent="0.25">
      <c r="A290" s="4" t="s">
        <v>62</v>
      </c>
      <c r="B290" s="4" t="s">
        <v>17</v>
      </c>
    </row>
    <row r="291" spans="1:2" s="114" customFormat="1" x14ac:dyDescent="0.25">
      <c r="A291" s="4" t="s">
        <v>62</v>
      </c>
      <c r="B291" s="4" t="s">
        <v>17</v>
      </c>
    </row>
    <row r="292" spans="1:2" s="114" customFormat="1" x14ac:dyDescent="0.25">
      <c r="A292" s="4" t="s">
        <v>69</v>
      </c>
      <c r="B292" s="4" t="s">
        <v>17</v>
      </c>
    </row>
    <row r="293" spans="1:2" s="114" customFormat="1" x14ac:dyDescent="0.25">
      <c r="A293" s="4" t="s">
        <v>61</v>
      </c>
      <c r="B293" s="4" t="s">
        <v>17</v>
      </c>
    </row>
    <row r="294" spans="1:2" s="114" customFormat="1" x14ac:dyDescent="0.25">
      <c r="A294" s="4" t="s">
        <v>66</v>
      </c>
      <c r="B294" s="4" t="s">
        <v>17</v>
      </c>
    </row>
    <row r="295" spans="1:2" s="114" customFormat="1" x14ac:dyDescent="0.25">
      <c r="A295" s="4" t="s">
        <v>68</v>
      </c>
      <c r="B295" s="4" t="s">
        <v>17</v>
      </c>
    </row>
    <row r="296" spans="1:2" s="114" customFormat="1" x14ac:dyDescent="0.25">
      <c r="A296" s="4" t="s">
        <v>75</v>
      </c>
      <c r="B296" s="4" t="s">
        <v>17</v>
      </c>
    </row>
    <row r="297" spans="1:2" s="114" customFormat="1" x14ac:dyDescent="0.25">
      <c r="A297" s="4" t="s">
        <v>68</v>
      </c>
      <c r="B297" s="4" t="s">
        <v>17</v>
      </c>
    </row>
    <row r="298" spans="1:2" s="114" customFormat="1" x14ac:dyDescent="0.25">
      <c r="A298" s="4" t="s">
        <v>68</v>
      </c>
      <c r="B298" s="4" t="s">
        <v>17</v>
      </c>
    </row>
    <row r="299" spans="1:2" s="114" customFormat="1" x14ac:dyDescent="0.25">
      <c r="A299" s="4" t="s">
        <v>72</v>
      </c>
      <c r="B299" s="4" t="s">
        <v>17</v>
      </c>
    </row>
    <row r="300" spans="1:2" s="114" customFormat="1" x14ac:dyDescent="0.25">
      <c r="A300" s="4" t="s">
        <v>72</v>
      </c>
      <c r="B300" s="4" t="s">
        <v>17</v>
      </c>
    </row>
    <row r="301" spans="1:2" s="114" customFormat="1" x14ac:dyDescent="0.25">
      <c r="A301" s="4" t="s">
        <v>72</v>
      </c>
      <c r="B301" s="4" t="s">
        <v>17</v>
      </c>
    </row>
    <row r="302" spans="1:2" s="114" customFormat="1" x14ac:dyDescent="0.25">
      <c r="A302" s="4" t="s">
        <v>75</v>
      </c>
      <c r="B302" s="4" t="s">
        <v>17</v>
      </c>
    </row>
    <row r="303" spans="1:2" s="114" customFormat="1" x14ac:dyDescent="0.25">
      <c r="A303" s="4" t="s">
        <v>73</v>
      </c>
      <c r="B303" s="4" t="s">
        <v>17</v>
      </c>
    </row>
    <row r="304" spans="1:2" s="114" customFormat="1" x14ac:dyDescent="0.25">
      <c r="A304" s="4" t="s">
        <v>67</v>
      </c>
      <c r="B304" s="4" t="s">
        <v>17</v>
      </c>
    </row>
    <row r="305" spans="1:2" s="114" customFormat="1" x14ac:dyDescent="0.25">
      <c r="A305" s="4" t="s">
        <v>68</v>
      </c>
      <c r="B305" s="4" t="s">
        <v>17</v>
      </c>
    </row>
    <row r="306" spans="1:2" s="114" customFormat="1" x14ac:dyDescent="0.25">
      <c r="A306" s="4" t="s">
        <v>62</v>
      </c>
      <c r="B306" s="4" t="s">
        <v>17</v>
      </c>
    </row>
    <row r="307" spans="1:2" s="114" customFormat="1" x14ac:dyDescent="0.25">
      <c r="A307" s="4" t="s">
        <v>69</v>
      </c>
      <c r="B307" s="4" t="s">
        <v>17</v>
      </c>
    </row>
    <row r="308" spans="1:2" s="114" customFormat="1" x14ac:dyDescent="0.25">
      <c r="A308" s="4" t="s">
        <v>61</v>
      </c>
      <c r="B308" s="4" t="s">
        <v>17</v>
      </c>
    </row>
    <row r="309" spans="1:2" s="114" customFormat="1" x14ac:dyDescent="0.25">
      <c r="A309" s="4" t="s">
        <v>72</v>
      </c>
      <c r="B309" s="4" t="s">
        <v>18</v>
      </c>
    </row>
    <row r="310" spans="1:2" s="114" customFormat="1" x14ac:dyDescent="0.25">
      <c r="A310" s="4" t="s">
        <v>63</v>
      </c>
      <c r="B310" s="4" t="s">
        <v>18</v>
      </c>
    </row>
    <row r="311" spans="1:2" s="114" customFormat="1" x14ac:dyDescent="0.25">
      <c r="A311" s="4" t="s">
        <v>67</v>
      </c>
      <c r="B311" s="4" t="s">
        <v>18</v>
      </c>
    </row>
    <row r="312" spans="1:2" s="114" customFormat="1" x14ac:dyDescent="0.25">
      <c r="A312" s="4" t="s">
        <v>72</v>
      </c>
      <c r="B312" s="4" t="s">
        <v>18</v>
      </c>
    </row>
    <row r="313" spans="1:2" s="114" customFormat="1" x14ac:dyDescent="0.25">
      <c r="A313" s="4" t="s">
        <v>72</v>
      </c>
      <c r="B313" s="4" t="s">
        <v>18</v>
      </c>
    </row>
    <row r="314" spans="1:2" s="114" customFormat="1" x14ac:dyDescent="0.25">
      <c r="A314" s="4" t="s">
        <v>72</v>
      </c>
      <c r="B314" s="4" t="s">
        <v>18</v>
      </c>
    </row>
    <row r="315" spans="1:2" s="114" customFormat="1" x14ac:dyDescent="0.25">
      <c r="A315" s="4" t="s">
        <v>72</v>
      </c>
      <c r="B315" s="4" t="s">
        <v>18</v>
      </c>
    </row>
    <row r="316" spans="1:2" s="114" customFormat="1" x14ac:dyDescent="0.25">
      <c r="A316" s="4" t="s">
        <v>69</v>
      </c>
      <c r="B316" s="4" t="s">
        <v>18</v>
      </c>
    </row>
    <row r="317" spans="1:2" s="114" customFormat="1" x14ac:dyDescent="0.25">
      <c r="A317" s="4" t="s">
        <v>59</v>
      </c>
      <c r="B317" s="4" t="s">
        <v>18</v>
      </c>
    </row>
    <row r="318" spans="1:2" s="114" customFormat="1" x14ac:dyDescent="0.25">
      <c r="A318" s="4" t="s">
        <v>67</v>
      </c>
      <c r="B318" s="4" t="s">
        <v>18</v>
      </c>
    </row>
    <row r="319" spans="1:2" s="114" customFormat="1" x14ac:dyDescent="0.25">
      <c r="A319" s="4" t="s">
        <v>72</v>
      </c>
      <c r="B319" s="4" t="s">
        <v>18</v>
      </c>
    </row>
    <row r="320" spans="1:2" s="114" customFormat="1" x14ac:dyDescent="0.25">
      <c r="A320" s="4" t="s">
        <v>72</v>
      </c>
      <c r="B320" s="4" t="s">
        <v>18</v>
      </c>
    </row>
    <row r="321" spans="1:2" s="114" customFormat="1" x14ac:dyDescent="0.25">
      <c r="A321" s="4" t="s">
        <v>72</v>
      </c>
      <c r="B321" s="4" t="s">
        <v>18</v>
      </c>
    </row>
    <row r="322" spans="1:2" s="114" customFormat="1" x14ac:dyDescent="0.25">
      <c r="A322" s="4" t="s">
        <v>72</v>
      </c>
      <c r="B322" s="4" t="s">
        <v>18</v>
      </c>
    </row>
    <row r="323" spans="1:2" s="114" customFormat="1" x14ac:dyDescent="0.25">
      <c r="A323" s="4" t="s">
        <v>72</v>
      </c>
      <c r="B323" s="4" t="s">
        <v>18</v>
      </c>
    </row>
    <row r="324" spans="1:2" s="114" customFormat="1" x14ac:dyDescent="0.25">
      <c r="A324" s="4" t="s">
        <v>72</v>
      </c>
      <c r="B324" s="4" t="s">
        <v>18</v>
      </c>
    </row>
    <row r="325" spans="1:2" s="114" customFormat="1" x14ac:dyDescent="0.25">
      <c r="A325" s="4" t="s">
        <v>72</v>
      </c>
      <c r="B325" s="4" t="s">
        <v>18</v>
      </c>
    </row>
    <row r="326" spans="1:2" s="114" customFormat="1" x14ac:dyDescent="0.25">
      <c r="A326" s="4" t="s">
        <v>72</v>
      </c>
      <c r="B326" s="4" t="s">
        <v>18</v>
      </c>
    </row>
    <row r="327" spans="1:2" s="114" customFormat="1" x14ac:dyDescent="0.25">
      <c r="A327" s="4" t="s">
        <v>72</v>
      </c>
      <c r="B327" s="4" t="s">
        <v>18</v>
      </c>
    </row>
    <row r="328" spans="1:2" s="114" customFormat="1" x14ac:dyDescent="0.25">
      <c r="A328" s="4" t="s">
        <v>65</v>
      </c>
      <c r="B328" s="4" t="s">
        <v>18</v>
      </c>
    </row>
    <row r="329" spans="1:2" s="114" customFormat="1" x14ac:dyDescent="0.25">
      <c r="A329" s="4" t="s">
        <v>69</v>
      </c>
      <c r="B329" s="4" t="s">
        <v>18</v>
      </c>
    </row>
    <row r="330" spans="1:2" s="114" customFormat="1" x14ac:dyDescent="0.25">
      <c r="A330" s="4" t="s">
        <v>69</v>
      </c>
      <c r="B330" s="4" t="s">
        <v>18</v>
      </c>
    </row>
    <row r="331" spans="1:2" s="114" customFormat="1" x14ac:dyDescent="0.25">
      <c r="A331" s="4" t="s">
        <v>69</v>
      </c>
      <c r="B331" s="4" t="s">
        <v>18</v>
      </c>
    </row>
    <row r="332" spans="1:2" s="114" customFormat="1" x14ac:dyDescent="0.25">
      <c r="A332" s="4" t="s">
        <v>69</v>
      </c>
      <c r="B332" s="4" t="s">
        <v>18</v>
      </c>
    </row>
    <row r="333" spans="1:2" s="114" customFormat="1" x14ac:dyDescent="0.25">
      <c r="A333" s="4" t="s">
        <v>68</v>
      </c>
      <c r="B333" s="4" t="s">
        <v>18</v>
      </c>
    </row>
    <row r="334" spans="1:2" s="114" customFormat="1" x14ac:dyDescent="0.25">
      <c r="A334" s="4" t="s">
        <v>68</v>
      </c>
      <c r="B334" s="4" t="s">
        <v>18</v>
      </c>
    </row>
    <row r="335" spans="1:2" s="114" customFormat="1" x14ac:dyDescent="0.25">
      <c r="A335" s="4" t="s">
        <v>73</v>
      </c>
      <c r="B335" s="4" t="s">
        <v>18</v>
      </c>
    </row>
    <row r="336" spans="1:2" s="114" customFormat="1" x14ac:dyDescent="0.25">
      <c r="A336" s="4" t="s">
        <v>73</v>
      </c>
      <c r="B336" s="4" t="s">
        <v>18</v>
      </c>
    </row>
    <row r="337" spans="1:2" s="114" customFormat="1" x14ac:dyDescent="0.25">
      <c r="A337" s="4" t="s">
        <v>71</v>
      </c>
      <c r="B337" s="4" t="s">
        <v>18</v>
      </c>
    </row>
    <row r="338" spans="1:2" s="114" customFormat="1" x14ac:dyDescent="0.25">
      <c r="A338" s="4" t="s">
        <v>72</v>
      </c>
      <c r="B338" s="4" t="s">
        <v>18</v>
      </c>
    </row>
    <row r="339" spans="1:2" s="114" customFormat="1" x14ac:dyDescent="0.25">
      <c r="A339" s="4" t="s">
        <v>72</v>
      </c>
      <c r="B339" s="4" t="s">
        <v>18</v>
      </c>
    </row>
    <row r="340" spans="1:2" s="114" customFormat="1" x14ac:dyDescent="0.25">
      <c r="A340" s="4" t="s">
        <v>72</v>
      </c>
      <c r="B340" s="4" t="s">
        <v>18</v>
      </c>
    </row>
    <row r="341" spans="1:2" s="114" customFormat="1" x14ac:dyDescent="0.25">
      <c r="A341" s="4" t="s">
        <v>72</v>
      </c>
      <c r="B341" s="4" t="s">
        <v>18</v>
      </c>
    </row>
    <row r="342" spans="1:2" s="114" customFormat="1" x14ac:dyDescent="0.25">
      <c r="A342" s="4" t="s">
        <v>72</v>
      </c>
      <c r="B342" s="4" t="s">
        <v>18</v>
      </c>
    </row>
    <row r="343" spans="1:2" s="114" customFormat="1" x14ac:dyDescent="0.25">
      <c r="A343" s="4" t="s">
        <v>75</v>
      </c>
      <c r="B343" s="4" t="s">
        <v>18</v>
      </c>
    </row>
    <row r="344" spans="1:2" s="114" customFormat="1" x14ac:dyDescent="0.25">
      <c r="A344" s="4" t="s">
        <v>69</v>
      </c>
      <c r="B344" s="4" t="s">
        <v>18</v>
      </c>
    </row>
    <row r="345" spans="1:2" s="114" customFormat="1" x14ac:dyDescent="0.25">
      <c r="A345" s="4" t="s">
        <v>69</v>
      </c>
      <c r="B345" s="4" t="s">
        <v>18</v>
      </c>
    </row>
    <row r="346" spans="1:2" s="114" customFormat="1" x14ac:dyDescent="0.25">
      <c r="A346" s="4" t="s">
        <v>69</v>
      </c>
      <c r="B346" s="4" t="s">
        <v>18</v>
      </c>
    </row>
    <row r="347" spans="1:2" s="114" customFormat="1" x14ac:dyDescent="0.25">
      <c r="A347" s="4" t="s">
        <v>68</v>
      </c>
      <c r="B347" s="4" t="s">
        <v>18</v>
      </c>
    </row>
    <row r="348" spans="1:2" s="114" customFormat="1" x14ac:dyDescent="0.25">
      <c r="A348" s="4" t="s">
        <v>67</v>
      </c>
      <c r="B348" s="4" t="s">
        <v>18</v>
      </c>
    </row>
    <row r="349" spans="1:2" s="114" customFormat="1" x14ac:dyDescent="0.25">
      <c r="A349" s="4" t="s">
        <v>72</v>
      </c>
      <c r="B349" s="4" t="s">
        <v>18</v>
      </c>
    </row>
    <row r="350" spans="1:2" s="114" customFormat="1" x14ac:dyDescent="0.25">
      <c r="A350" s="4" t="s">
        <v>72</v>
      </c>
      <c r="B350" s="4" t="s">
        <v>18</v>
      </c>
    </row>
    <row r="351" spans="1:2" s="114" customFormat="1" x14ac:dyDescent="0.25">
      <c r="A351" s="4" t="s">
        <v>72</v>
      </c>
      <c r="B351" s="4" t="s">
        <v>18</v>
      </c>
    </row>
    <row r="352" spans="1:2" s="114" customFormat="1" x14ac:dyDescent="0.25">
      <c r="A352" s="4" t="s">
        <v>74</v>
      </c>
      <c r="B352" s="4" t="s">
        <v>18</v>
      </c>
    </row>
    <row r="353" spans="1:2" s="114" customFormat="1" x14ac:dyDescent="0.25">
      <c r="A353" s="4" t="s">
        <v>67</v>
      </c>
      <c r="B353" s="4" t="s">
        <v>18</v>
      </c>
    </row>
    <row r="354" spans="1:2" s="114" customFormat="1" x14ac:dyDescent="0.25">
      <c r="A354" s="4" t="s">
        <v>69</v>
      </c>
      <c r="B354" s="4" t="s">
        <v>18</v>
      </c>
    </row>
    <row r="355" spans="1:2" s="114" customFormat="1" x14ac:dyDescent="0.25">
      <c r="A355" s="4" t="s">
        <v>69</v>
      </c>
      <c r="B355" s="4" t="s">
        <v>18</v>
      </c>
    </row>
    <row r="356" spans="1:2" s="114" customFormat="1" x14ac:dyDescent="0.25">
      <c r="A356" s="4" t="s">
        <v>73</v>
      </c>
      <c r="B356" s="4" t="s">
        <v>18</v>
      </c>
    </row>
    <row r="357" spans="1:2" s="114" customFormat="1" x14ac:dyDescent="0.25">
      <c r="A357" s="4" t="s">
        <v>67</v>
      </c>
      <c r="B357" s="4" t="s">
        <v>18</v>
      </c>
    </row>
    <row r="358" spans="1:2" s="114" customFormat="1" x14ac:dyDescent="0.25">
      <c r="A358" s="4" t="s">
        <v>71</v>
      </c>
      <c r="B358" s="4" t="s">
        <v>18</v>
      </c>
    </row>
    <row r="359" spans="1:2" s="114" customFormat="1" x14ac:dyDescent="0.25">
      <c r="A359" s="4" t="s">
        <v>71</v>
      </c>
      <c r="B359" s="4" t="s">
        <v>18</v>
      </c>
    </row>
    <row r="360" spans="1:2" s="114" customFormat="1" x14ac:dyDescent="0.25">
      <c r="A360" s="4" t="s">
        <v>72</v>
      </c>
      <c r="B360" s="4" t="s">
        <v>18</v>
      </c>
    </row>
    <row r="361" spans="1:2" s="114" customFormat="1" x14ac:dyDescent="0.25">
      <c r="A361" s="4" t="s">
        <v>72</v>
      </c>
      <c r="B361" s="4" t="s">
        <v>18</v>
      </c>
    </row>
    <row r="362" spans="1:2" s="114" customFormat="1" x14ac:dyDescent="0.25">
      <c r="A362" s="4" t="s">
        <v>72</v>
      </c>
      <c r="B362" s="4" t="s">
        <v>18</v>
      </c>
    </row>
    <row r="363" spans="1:2" s="114" customFormat="1" x14ac:dyDescent="0.25">
      <c r="A363" s="4" t="s">
        <v>74</v>
      </c>
      <c r="B363" s="4" t="s">
        <v>18</v>
      </c>
    </row>
    <row r="364" spans="1:2" s="114" customFormat="1" x14ac:dyDescent="0.25">
      <c r="A364" s="4" t="s">
        <v>74</v>
      </c>
      <c r="B364" s="4" t="s">
        <v>18</v>
      </c>
    </row>
    <row r="365" spans="1:2" s="114" customFormat="1" x14ac:dyDescent="0.25">
      <c r="A365" s="4" t="s">
        <v>75</v>
      </c>
      <c r="B365" s="4" t="s">
        <v>18</v>
      </c>
    </row>
    <row r="366" spans="1:2" s="114" customFormat="1" x14ac:dyDescent="0.25">
      <c r="A366" s="4" t="s">
        <v>69</v>
      </c>
      <c r="B366" s="4" t="s">
        <v>18</v>
      </c>
    </row>
    <row r="367" spans="1:2" s="114" customFormat="1" x14ac:dyDescent="0.25">
      <c r="A367" s="4" t="s">
        <v>69</v>
      </c>
      <c r="B367" s="4" t="s">
        <v>18</v>
      </c>
    </row>
    <row r="368" spans="1:2" s="114" customFormat="1" x14ac:dyDescent="0.25">
      <c r="A368" s="4" t="s">
        <v>61</v>
      </c>
      <c r="B368" s="4" t="s">
        <v>18</v>
      </c>
    </row>
    <row r="369" spans="1:2" s="114" customFormat="1" x14ac:dyDescent="0.25">
      <c r="A369" s="4" t="s">
        <v>61</v>
      </c>
      <c r="B369" s="4" t="s">
        <v>18</v>
      </c>
    </row>
    <row r="370" spans="1:2" s="114" customFormat="1" x14ac:dyDescent="0.25">
      <c r="A370" s="4" t="s">
        <v>73</v>
      </c>
      <c r="B370" s="4" t="s">
        <v>18</v>
      </c>
    </row>
    <row r="371" spans="1:2" s="114" customFormat="1" x14ac:dyDescent="0.25">
      <c r="A371" s="4" t="s">
        <v>73</v>
      </c>
      <c r="B371" s="4" t="s">
        <v>18</v>
      </c>
    </row>
    <row r="372" spans="1:2" s="114" customFormat="1" x14ac:dyDescent="0.25">
      <c r="A372" s="4" t="s">
        <v>73</v>
      </c>
      <c r="B372" s="4" t="s">
        <v>18</v>
      </c>
    </row>
    <row r="373" spans="1:2" s="114" customFormat="1" x14ac:dyDescent="0.25">
      <c r="A373" s="4" t="s">
        <v>67</v>
      </c>
      <c r="B373" s="4" t="s">
        <v>18</v>
      </c>
    </row>
    <row r="374" spans="1:2" s="114" customFormat="1" x14ac:dyDescent="0.25">
      <c r="A374" s="4" t="s">
        <v>71</v>
      </c>
      <c r="B374" s="4" t="s">
        <v>18</v>
      </c>
    </row>
    <row r="375" spans="1:2" s="114" customFormat="1" x14ac:dyDescent="0.25">
      <c r="A375" s="4" t="s">
        <v>72</v>
      </c>
      <c r="B375" s="4" t="s">
        <v>18</v>
      </c>
    </row>
    <row r="376" spans="1:2" s="114" customFormat="1" x14ac:dyDescent="0.25">
      <c r="A376" s="4" t="s">
        <v>72</v>
      </c>
      <c r="B376" s="4" t="s">
        <v>18</v>
      </c>
    </row>
    <row r="377" spans="1:2" s="114" customFormat="1" x14ac:dyDescent="0.25">
      <c r="A377" s="4" t="s">
        <v>72</v>
      </c>
      <c r="B377" s="4" t="s">
        <v>18</v>
      </c>
    </row>
    <row r="378" spans="1:2" s="114" customFormat="1" x14ac:dyDescent="0.25">
      <c r="A378" s="4" t="s">
        <v>74</v>
      </c>
      <c r="B378" s="4" t="s">
        <v>18</v>
      </c>
    </row>
    <row r="379" spans="1:2" s="114" customFormat="1" x14ac:dyDescent="0.25">
      <c r="A379" s="4" t="s">
        <v>65</v>
      </c>
      <c r="B379" s="4" t="s">
        <v>18</v>
      </c>
    </row>
    <row r="380" spans="1:2" s="114" customFormat="1" x14ac:dyDescent="0.25">
      <c r="A380" s="4" t="s">
        <v>66</v>
      </c>
      <c r="B380" s="4" t="s">
        <v>18</v>
      </c>
    </row>
    <row r="381" spans="1:2" s="114" customFormat="1" x14ac:dyDescent="0.25">
      <c r="A381" s="4" t="s">
        <v>68</v>
      </c>
      <c r="B381" s="4" t="s">
        <v>18</v>
      </c>
    </row>
    <row r="382" spans="1:2" s="114" customFormat="1" x14ac:dyDescent="0.25">
      <c r="A382" s="4" t="s">
        <v>67</v>
      </c>
      <c r="B382" s="4" t="s">
        <v>18</v>
      </c>
    </row>
    <row r="383" spans="1:2" s="114" customFormat="1" x14ac:dyDescent="0.25">
      <c r="A383" s="4" t="s">
        <v>72</v>
      </c>
      <c r="B383" s="4" t="s">
        <v>18</v>
      </c>
    </row>
    <row r="384" spans="1:2" s="114" customFormat="1" x14ac:dyDescent="0.25">
      <c r="A384" s="4" t="s">
        <v>62</v>
      </c>
      <c r="B384" s="4" t="s">
        <v>18</v>
      </c>
    </row>
    <row r="385" spans="1:2" s="114" customFormat="1" x14ac:dyDescent="0.25">
      <c r="A385" s="4" t="s">
        <v>72</v>
      </c>
      <c r="B385" s="4" t="s">
        <v>18</v>
      </c>
    </row>
    <row r="386" spans="1:2" s="114" customFormat="1" x14ac:dyDescent="0.25">
      <c r="A386" s="4" t="s">
        <v>72</v>
      </c>
      <c r="B386" s="4" t="s">
        <v>18</v>
      </c>
    </row>
    <row r="387" spans="1:2" s="114" customFormat="1" x14ac:dyDescent="0.25">
      <c r="A387" s="4" t="s">
        <v>72</v>
      </c>
      <c r="B387" s="4" t="s">
        <v>18</v>
      </c>
    </row>
    <row r="388" spans="1:2" s="114" customFormat="1" x14ac:dyDescent="0.25">
      <c r="A388" s="4" t="s">
        <v>74</v>
      </c>
      <c r="B388" s="4" t="s">
        <v>18</v>
      </c>
    </row>
    <row r="389" spans="1:2" s="114" customFormat="1" x14ac:dyDescent="0.25">
      <c r="A389" s="4" t="s">
        <v>75</v>
      </c>
      <c r="B389" s="4" t="s">
        <v>18</v>
      </c>
    </row>
    <row r="390" spans="1:2" s="114" customFormat="1" x14ac:dyDescent="0.25">
      <c r="A390" s="4" t="s">
        <v>73</v>
      </c>
      <c r="B390" s="4" t="s">
        <v>18</v>
      </c>
    </row>
    <row r="391" spans="1:2" s="114" customFormat="1" x14ac:dyDescent="0.25">
      <c r="A391" s="4" t="s">
        <v>67</v>
      </c>
      <c r="B391" s="4" t="s">
        <v>18</v>
      </c>
    </row>
    <row r="392" spans="1:2" s="114" customFormat="1" x14ac:dyDescent="0.25">
      <c r="A392" s="4" t="s">
        <v>71</v>
      </c>
      <c r="B392" s="4" t="s">
        <v>18</v>
      </c>
    </row>
    <row r="393" spans="1:2" s="114" customFormat="1" x14ac:dyDescent="0.25">
      <c r="A393" s="4" t="s">
        <v>72</v>
      </c>
      <c r="B393" s="4" t="s">
        <v>18</v>
      </c>
    </row>
    <row r="394" spans="1:2" s="114" customFormat="1" x14ac:dyDescent="0.25">
      <c r="A394" s="4" t="s">
        <v>72</v>
      </c>
      <c r="B394" s="4" t="s">
        <v>18</v>
      </c>
    </row>
    <row r="395" spans="1:2" s="114" customFormat="1" x14ac:dyDescent="0.25">
      <c r="A395" s="4" t="s">
        <v>75</v>
      </c>
      <c r="B395" s="4" t="s">
        <v>18</v>
      </c>
    </row>
    <row r="396" spans="1:2" s="114" customFormat="1" x14ac:dyDescent="0.25">
      <c r="A396" s="4" t="s">
        <v>68</v>
      </c>
      <c r="B396" s="4" t="s">
        <v>18</v>
      </c>
    </row>
    <row r="397" spans="1:2" s="114" customFormat="1" x14ac:dyDescent="0.25">
      <c r="A397" s="4" t="s">
        <v>61</v>
      </c>
      <c r="B397" s="4" t="s">
        <v>18</v>
      </c>
    </row>
    <row r="398" spans="1:2" s="114" customFormat="1" x14ac:dyDescent="0.25">
      <c r="A398" s="4" t="s">
        <v>69</v>
      </c>
      <c r="B398" s="4" t="s">
        <v>19</v>
      </c>
    </row>
    <row r="399" spans="1:2" s="114" customFormat="1" x14ac:dyDescent="0.25">
      <c r="A399" s="4" t="s">
        <v>68</v>
      </c>
      <c r="B399" s="4" t="s">
        <v>19</v>
      </c>
    </row>
    <row r="400" spans="1:2" s="114" customFormat="1" x14ac:dyDescent="0.25">
      <c r="A400" s="4" t="s">
        <v>68</v>
      </c>
      <c r="B400" s="4" t="s">
        <v>19</v>
      </c>
    </row>
    <row r="401" spans="1:2" s="114" customFormat="1" x14ac:dyDescent="0.25">
      <c r="A401" s="4" t="s">
        <v>68</v>
      </c>
      <c r="B401" s="4" t="s">
        <v>19</v>
      </c>
    </row>
    <row r="402" spans="1:2" s="114" customFormat="1" x14ac:dyDescent="0.25">
      <c r="A402" s="4" t="s">
        <v>67</v>
      </c>
      <c r="B402" s="4" t="s">
        <v>19</v>
      </c>
    </row>
    <row r="403" spans="1:2" s="114" customFormat="1" x14ac:dyDescent="0.25">
      <c r="A403" s="4" t="s">
        <v>72</v>
      </c>
      <c r="B403" s="4" t="s">
        <v>19</v>
      </c>
    </row>
    <row r="404" spans="1:2" s="114" customFormat="1" x14ac:dyDescent="0.25">
      <c r="A404" s="4" t="s">
        <v>69</v>
      </c>
      <c r="B404" s="4" t="s">
        <v>19</v>
      </c>
    </row>
    <row r="405" spans="1:2" s="114" customFormat="1" x14ac:dyDescent="0.25">
      <c r="A405" s="4" t="s">
        <v>68</v>
      </c>
      <c r="B405" s="4" t="s">
        <v>19</v>
      </c>
    </row>
    <row r="406" spans="1:2" s="114" customFormat="1" x14ac:dyDescent="0.25">
      <c r="A406" s="4" t="s">
        <v>68</v>
      </c>
      <c r="B406" s="4" t="s">
        <v>19</v>
      </c>
    </row>
    <row r="407" spans="1:2" s="114" customFormat="1" x14ac:dyDescent="0.25">
      <c r="A407" s="4" t="s">
        <v>67</v>
      </c>
      <c r="B407" s="4" t="s">
        <v>19</v>
      </c>
    </row>
    <row r="408" spans="1:2" s="114" customFormat="1" x14ac:dyDescent="0.25">
      <c r="A408" s="4" t="s">
        <v>72</v>
      </c>
      <c r="B408" s="4" t="s">
        <v>19</v>
      </c>
    </row>
    <row r="409" spans="1:2" s="114" customFormat="1" x14ac:dyDescent="0.25">
      <c r="A409" s="4" t="s">
        <v>68</v>
      </c>
      <c r="B409" s="4" t="s">
        <v>19</v>
      </c>
    </row>
    <row r="410" spans="1:2" s="114" customFormat="1" x14ac:dyDescent="0.25">
      <c r="A410" s="4" t="s">
        <v>68</v>
      </c>
      <c r="B410" s="4" t="s">
        <v>19</v>
      </c>
    </row>
    <row r="411" spans="1:2" s="114" customFormat="1" x14ac:dyDescent="0.25">
      <c r="A411" s="4" t="s">
        <v>62</v>
      </c>
      <c r="B411" s="4" t="s">
        <v>19</v>
      </c>
    </row>
    <row r="412" spans="1:2" s="114" customFormat="1" x14ac:dyDescent="0.25">
      <c r="A412" s="4" t="s">
        <v>74</v>
      </c>
      <c r="B412" s="4" t="s">
        <v>19</v>
      </c>
    </row>
    <row r="413" spans="1:2" s="114" customFormat="1" x14ac:dyDescent="0.25">
      <c r="A413" s="4" t="s">
        <v>68</v>
      </c>
      <c r="B413" s="4" t="s">
        <v>19</v>
      </c>
    </row>
    <row r="414" spans="1:2" s="114" customFormat="1" x14ac:dyDescent="0.25">
      <c r="A414" s="4" t="s">
        <v>67</v>
      </c>
      <c r="B414" s="4" t="s">
        <v>19</v>
      </c>
    </row>
    <row r="415" spans="1:2" s="114" customFormat="1" x14ac:dyDescent="0.25">
      <c r="A415" s="4" t="s">
        <v>75</v>
      </c>
      <c r="B415" s="4" t="s">
        <v>19</v>
      </c>
    </row>
    <row r="416" spans="1:2" s="114" customFormat="1" x14ac:dyDescent="0.25">
      <c r="A416" s="4" t="s">
        <v>62</v>
      </c>
      <c r="B416" s="4" t="s">
        <v>20</v>
      </c>
    </row>
    <row r="417" spans="1:2" s="114" customFormat="1" x14ac:dyDescent="0.25">
      <c r="A417" s="4" t="s">
        <v>62</v>
      </c>
      <c r="B417" s="4" t="s">
        <v>20</v>
      </c>
    </row>
    <row r="418" spans="1:2" s="114" customFormat="1" x14ac:dyDescent="0.25">
      <c r="A418" s="4" t="s">
        <v>65</v>
      </c>
      <c r="B418" s="4" t="s">
        <v>20</v>
      </c>
    </row>
    <row r="419" spans="1:2" s="114" customFormat="1" x14ac:dyDescent="0.25">
      <c r="A419" s="4" t="s">
        <v>67</v>
      </c>
      <c r="B419" s="4" t="s">
        <v>20</v>
      </c>
    </row>
    <row r="420" spans="1:2" s="114" customFormat="1" x14ac:dyDescent="0.25">
      <c r="A420" s="4" t="s">
        <v>62</v>
      </c>
      <c r="B420" s="4" t="s">
        <v>20</v>
      </c>
    </row>
    <row r="421" spans="1:2" s="114" customFormat="1" x14ac:dyDescent="0.25">
      <c r="A421" s="4" t="s">
        <v>62</v>
      </c>
      <c r="B421" s="4" t="s">
        <v>20</v>
      </c>
    </row>
    <row r="422" spans="1:2" s="114" customFormat="1" x14ac:dyDescent="0.25">
      <c r="A422" s="4" t="s">
        <v>62</v>
      </c>
      <c r="B422" s="4" t="s">
        <v>20</v>
      </c>
    </row>
    <row r="423" spans="1:2" s="114" customFormat="1" x14ac:dyDescent="0.25">
      <c r="A423" s="4" t="s">
        <v>62</v>
      </c>
      <c r="B423" s="4" t="s">
        <v>20</v>
      </c>
    </row>
    <row r="424" spans="1:2" s="114" customFormat="1" x14ac:dyDescent="0.25">
      <c r="A424" s="4" t="s">
        <v>62</v>
      </c>
      <c r="B424" s="4" t="s">
        <v>20</v>
      </c>
    </row>
    <row r="425" spans="1:2" s="114" customFormat="1" x14ac:dyDescent="0.25">
      <c r="A425" s="4" t="s">
        <v>65</v>
      </c>
      <c r="B425" s="4" t="s">
        <v>20</v>
      </c>
    </row>
    <row r="426" spans="1:2" s="114" customFormat="1" x14ac:dyDescent="0.25">
      <c r="A426" s="4" t="s">
        <v>65</v>
      </c>
      <c r="B426" s="4" t="s">
        <v>20</v>
      </c>
    </row>
    <row r="427" spans="1:2" s="114" customFormat="1" x14ac:dyDescent="0.25">
      <c r="A427" s="4" t="s">
        <v>65</v>
      </c>
      <c r="B427" s="4" t="s">
        <v>20</v>
      </c>
    </row>
    <row r="428" spans="1:2" s="114" customFormat="1" x14ac:dyDescent="0.25">
      <c r="A428" s="4" t="s">
        <v>75</v>
      </c>
      <c r="B428" s="4" t="s">
        <v>20</v>
      </c>
    </row>
    <row r="429" spans="1:2" s="114" customFormat="1" x14ac:dyDescent="0.25">
      <c r="A429" s="4" t="s">
        <v>72</v>
      </c>
      <c r="B429" s="4" t="s">
        <v>20</v>
      </c>
    </row>
    <row r="430" spans="1:2" s="114" customFormat="1" x14ac:dyDescent="0.25">
      <c r="A430" s="4" t="s">
        <v>72</v>
      </c>
      <c r="B430" s="4" t="s">
        <v>20</v>
      </c>
    </row>
    <row r="431" spans="1:2" s="114" customFormat="1" x14ac:dyDescent="0.25">
      <c r="A431" s="4" t="s">
        <v>62</v>
      </c>
      <c r="B431" s="4" t="s">
        <v>20</v>
      </c>
    </row>
    <row r="432" spans="1:2" s="114" customFormat="1" x14ac:dyDescent="0.25">
      <c r="A432" s="4" t="s">
        <v>62</v>
      </c>
      <c r="B432" s="4" t="s">
        <v>20</v>
      </c>
    </row>
    <row r="433" spans="1:2" s="114" customFormat="1" x14ac:dyDescent="0.25">
      <c r="A433" s="4" t="s">
        <v>62</v>
      </c>
      <c r="B433" s="4" t="s">
        <v>20</v>
      </c>
    </row>
    <row r="434" spans="1:2" s="114" customFormat="1" x14ac:dyDescent="0.25">
      <c r="A434" s="4" t="s">
        <v>65</v>
      </c>
      <c r="B434" s="4" t="s">
        <v>20</v>
      </c>
    </row>
    <row r="435" spans="1:2" s="114" customFormat="1" x14ac:dyDescent="0.25">
      <c r="A435" s="4" t="s">
        <v>65</v>
      </c>
      <c r="B435" s="4" t="s">
        <v>20</v>
      </c>
    </row>
    <row r="436" spans="1:2" s="114" customFormat="1" x14ac:dyDescent="0.25">
      <c r="A436" s="4" t="s">
        <v>63</v>
      </c>
      <c r="B436" s="4" t="s">
        <v>20</v>
      </c>
    </row>
    <row r="437" spans="1:2" s="114" customFormat="1" x14ac:dyDescent="0.25">
      <c r="A437" s="4" t="s">
        <v>72</v>
      </c>
      <c r="B437" s="4" t="s">
        <v>20</v>
      </c>
    </row>
    <row r="438" spans="1:2" s="114" customFormat="1" x14ac:dyDescent="0.25">
      <c r="A438" s="4" t="s">
        <v>62</v>
      </c>
      <c r="B438" s="4" t="s">
        <v>20</v>
      </c>
    </row>
    <row r="439" spans="1:2" s="114" customFormat="1" x14ac:dyDescent="0.25">
      <c r="A439" s="4" t="s">
        <v>62</v>
      </c>
      <c r="B439" s="4" t="s">
        <v>20</v>
      </c>
    </row>
    <row r="440" spans="1:2" s="114" customFormat="1" x14ac:dyDescent="0.25">
      <c r="A440" s="4" t="s">
        <v>62</v>
      </c>
      <c r="B440" s="4" t="s">
        <v>20</v>
      </c>
    </row>
    <row r="441" spans="1:2" s="114" customFormat="1" x14ac:dyDescent="0.25">
      <c r="A441" s="4" t="s">
        <v>65</v>
      </c>
      <c r="B441" s="4" t="s">
        <v>20</v>
      </c>
    </row>
    <row r="442" spans="1:2" s="114" customFormat="1" x14ac:dyDescent="0.25">
      <c r="A442" s="4" t="s">
        <v>75</v>
      </c>
      <c r="B442" s="4" t="s">
        <v>20</v>
      </c>
    </row>
    <row r="443" spans="1:2" s="114" customFormat="1" x14ac:dyDescent="0.25">
      <c r="A443" s="4" t="s">
        <v>64</v>
      </c>
      <c r="B443" s="4" t="s">
        <v>20</v>
      </c>
    </row>
    <row r="444" spans="1:2" s="114" customFormat="1" x14ac:dyDescent="0.25">
      <c r="A444" s="4" t="s">
        <v>65</v>
      </c>
      <c r="B444" s="4" t="s">
        <v>20</v>
      </c>
    </row>
    <row r="445" spans="1:2" s="114" customFormat="1" x14ac:dyDescent="0.25">
      <c r="A445" s="4" t="s">
        <v>72</v>
      </c>
      <c r="B445" s="4" t="s">
        <v>20</v>
      </c>
    </row>
    <row r="446" spans="1:2" s="114" customFormat="1" x14ac:dyDescent="0.25">
      <c r="A446" s="4" t="s">
        <v>62</v>
      </c>
      <c r="B446" s="4" t="s">
        <v>20</v>
      </c>
    </row>
    <row r="447" spans="1:2" s="114" customFormat="1" x14ac:dyDescent="0.25">
      <c r="A447" s="4" t="s">
        <v>65</v>
      </c>
      <c r="B447" s="4" t="s">
        <v>20</v>
      </c>
    </row>
    <row r="448" spans="1:2" s="114" customFormat="1" x14ac:dyDescent="0.25">
      <c r="A448" s="4" t="s">
        <v>67</v>
      </c>
      <c r="B448" s="4" t="s">
        <v>20</v>
      </c>
    </row>
    <row r="449" spans="1:2" s="114" customFormat="1" x14ac:dyDescent="0.25">
      <c r="A449" s="4" t="s">
        <v>72</v>
      </c>
      <c r="B449" s="4" t="s">
        <v>20</v>
      </c>
    </row>
    <row r="450" spans="1:2" s="114" customFormat="1" x14ac:dyDescent="0.25">
      <c r="A450" s="4" t="s">
        <v>72</v>
      </c>
      <c r="B450" s="4" t="s">
        <v>20</v>
      </c>
    </row>
    <row r="451" spans="1:2" s="114" customFormat="1" x14ac:dyDescent="0.25">
      <c r="A451" s="4" t="s">
        <v>62</v>
      </c>
      <c r="B451" s="4" t="s">
        <v>20</v>
      </c>
    </row>
    <row r="452" spans="1:2" s="114" customFormat="1" x14ac:dyDescent="0.25">
      <c r="A452" s="4" t="s">
        <v>62</v>
      </c>
      <c r="B452" s="4" t="s">
        <v>20</v>
      </c>
    </row>
    <row r="453" spans="1:2" s="114" customFormat="1" x14ac:dyDescent="0.25">
      <c r="A453" s="4" t="s">
        <v>62</v>
      </c>
      <c r="B453" s="4" t="s">
        <v>20</v>
      </c>
    </row>
    <row r="454" spans="1:2" s="114" customFormat="1" x14ac:dyDescent="0.25">
      <c r="A454" s="4" t="s">
        <v>65</v>
      </c>
      <c r="B454" s="4" t="s">
        <v>20</v>
      </c>
    </row>
    <row r="455" spans="1:2" s="114" customFormat="1" x14ac:dyDescent="0.25">
      <c r="A455" s="4" t="s">
        <v>75</v>
      </c>
      <c r="B455" s="4" t="s">
        <v>20</v>
      </c>
    </row>
    <row r="456" spans="1:2" s="114" customFormat="1" x14ac:dyDescent="0.25">
      <c r="A456" s="4" t="s">
        <v>64</v>
      </c>
      <c r="B456" s="4" t="s">
        <v>20</v>
      </c>
    </row>
    <row r="457" spans="1:2" s="114" customFormat="1" x14ac:dyDescent="0.25">
      <c r="A457" s="4" t="s">
        <v>581</v>
      </c>
      <c r="B457" s="4" t="s">
        <v>20</v>
      </c>
    </row>
    <row r="458" spans="1:2" s="114" customFormat="1" x14ac:dyDescent="0.25">
      <c r="A458" s="4" t="s">
        <v>72</v>
      </c>
      <c r="B458" s="4" t="s">
        <v>20</v>
      </c>
    </row>
    <row r="459" spans="1:2" s="114" customFormat="1" x14ac:dyDescent="0.25">
      <c r="A459" s="4" t="s">
        <v>72</v>
      </c>
      <c r="B459" s="4" t="s">
        <v>20</v>
      </c>
    </row>
    <row r="460" spans="1:2" s="114" customFormat="1" x14ac:dyDescent="0.25">
      <c r="A460" s="4" t="s">
        <v>65</v>
      </c>
      <c r="B460" s="4" t="s">
        <v>20</v>
      </c>
    </row>
    <row r="461" spans="1:2" s="114" customFormat="1" x14ac:dyDescent="0.25">
      <c r="A461" s="4" t="s">
        <v>65</v>
      </c>
      <c r="B461" s="4" t="s">
        <v>20</v>
      </c>
    </row>
    <row r="462" spans="1:2" s="114" customFormat="1" x14ac:dyDescent="0.25">
      <c r="A462" s="4" t="s">
        <v>65</v>
      </c>
      <c r="B462" s="4" t="s">
        <v>20</v>
      </c>
    </row>
    <row r="463" spans="1:2" s="114" customFormat="1" x14ac:dyDescent="0.25">
      <c r="A463" s="4" t="s">
        <v>75</v>
      </c>
      <c r="B463" s="4" t="s">
        <v>20</v>
      </c>
    </row>
    <row r="464" spans="1:2" s="114" customFormat="1" x14ac:dyDescent="0.25">
      <c r="A464" s="4" t="s">
        <v>68</v>
      </c>
      <c r="B464" s="4" t="s">
        <v>20</v>
      </c>
    </row>
    <row r="465" spans="1:2" s="114" customFormat="1" x14ac:dyDescent="0.25">
      <c r="A465" s="4" t="s">
        <v>71</v>
      </c>
      <c r="B465" s="4" t="s">
        <v>20</v>
      </c>
    </row>
    <row r="466" spans="1:2" s="114" customFormat="1" x14ac:dyDescent="0.25">
      <c r="A466" s="4" t="s">
        <v>62</v>
      </c>
      <c r="B466" s="4" t="s">
        <v>20</v>
      </c>
    </row>
    <row r="467" spans="1:2" s="114" customFormat="1" x14ac:dyDescent="0.25">
      <c r="A467" s="4" t="s">
        <v>65</v>
      </c>
      <c r="B467" s="4" t="s">
        <v>20</v>
      </c>
    </row>
    <row r="468" spans="1:2" s="114" customFormat="1" x14ac:dyDescent="0.25">
      <c r="A468" s="4" t="s">
        <v>63</v>
      </c>
      <c r="B468" s="4" t="s">
        <v>20</v>
      </c>
    </row>
    <row r="469" spans="1:2" s="114" customFormat="1" x14ac:dyDescent="0.25">
      <c r="A469" s="4" t="s">
        <v>68</v>
      </c>
      <c r="B469" s="4" t="s">
        <v>20</v>
      </c>
    </row>
    <row r="470" spans="1:2" s="114" customFormat="1" x14ac:dyDescent="0.25">
      <c r="A470" s="4" t="s">
        <v>68</v>
      </c>
      <c r="B470" s="4" t="s">
        <v>20</v>
      </c>
    </row>
    <row r="471" spans="1:2" s="114" customFormat="1" x14ac:dyDescent="0.25">
      <c r="A471" s="4" t="s">
        <v>73</v>
      </c>
      <c r="B471" s="4" t="s">
        <v>20</v>
      </c>
    </row>
    <row r="472" spans="1:2" s="114" customFormat="1" x14ac:dyDescent="0.25">
      <c r="A472" s="4" t="s">
        <v>62</v>
      </c>
      <c r="B472" s="4" t="s">
        <v>20</v>
      </c>
    </row>
    <row r="473" spans="1:2" s="114" customFormat="1" x14ac:dyDescent="0.25">
      <c r="A473" s="4" t="s">
        <v>65</v>
      </c>
      <c r="B473" s="4" t="s">
        <v>20</v>
      </c>
    </row>
    <row r="474" spans="1:2" s="114" customFormat="1" x14ac:dyDescent="0.25">
      <c r="A474" s="4" t="s">
        <v>70</v>
      </c>
      <c r="B474" s="4" t="s">
        <v>20</v>
      </c>
    </row>
    <row r="475" spans="1:2" s="114" customFormat="1" x14ac:dyDescent="0.25">
      <c r="A475" s="4" t="s">
        <v>64</v>
      </c>
      <c r="B475" s="4" t="s">
        <v>20</v>
      </c>
    </row>
    <row r="476" spans="1:2" s="114" customFormat="1" x14ac:dyDescent="0.25">
      <c r="A476" s="4" t="s">
        <v>73</v>
      </c>
      <c r="B476" s="4" t="s">
        <v>20</v>
      </c>
    </row>
    <row r="477" spans="1:2" s="114" customFormat="1" x14ac:dyDescent="0.25">
      <c r="A477" s="4" t="s">
        <v>73</v>
      </c>
      <c r="B477" s="4" t="s">
        <v>20</v>
      </c>
    </row>
    <row r="478" spans="1:2" s="114" customFormat="1" x14ac:dyDescent="0.25">
      <c r="A478" s="4" t="s">
        <v>59</v>
      </c>
      <c r="B478" s="4" t="s">
        <v>20</v>
      </c>
    </row>
    <row r="479" spans="1:2" s="114" customFormat="1" x14ac:dyDescent="0.25">
      <c r="A479" s="4" t="s">
        <v>62</v>
      </c>
      <c r="B479" s="4" t="s">
        <v>20</v>
      </c>
    </row>
    <row r="480" spans="1:2" s="114" customFormat="1" x14ac:dyDescent="0.25">
      <c r="A480" s="4" t="s">
        <v>69</v>
      </c>
      <c r="B480" s="4" t="s">
        <v>20</v>
      </c>
    </row>
    <row r="481" spans="1:2" s="114" customFormat="1" x14ac:dyDescent="0.25">
      <c r="A481" s="4" t="s">
        <v>72</v>
      </c>
      <c r="B481" s="4" t="s">
        <v>20</v>
      </c>
    </row>
    <row r="482" spans="1:2" s="114" customFormat="1" x14ac:dyDescent="0.25">
      <c r="A482" s="4" t="s">
        <v>72</v>
      </c>
      <c r="B482" s="4" t="s">
        <v>20</v>
      </c>
    </row>
    <row r="483" spans="1:2" s="114" customFormat="1" x14ac:dyDescent="0.25">
      <c r="A483" s="4" t="s">
        <v>72</v>
      </c>
      <c r="B483" s="4" t="s">
        <v>20</v>
      </c>
    </row>
    <row r="484" spans="1:2" s="114" customFormat="1" x14ac:dyDescent="0.25">
      <c r="A484" s="4" t="s">
        <v>60</v>
      </c>
      <c r="B484" s="4" t="s">
        <v>21</v>
      </c>
    </row>
    <row r="485" spans="1:2" s="114" customFormat="1" x14ac:dyDescent="0.25">
      <c r="A485" s="4" t="s">
        <v>72</v>
      </c>
      <c r="B485" s="4" t="s">
        <v>21</v>
      </c>
    </row>
    <row r="486" spans="1:2" s="114" customFormat="1" x14ac:dyDescent="0.25">
      <c r="A486" s="4" t="s">
        <v>62</v>
      </c>
      <c r="B486" s="4" t="s">
        <v>21</v>
      </c>
    </row>
    <row r="487" spans="1:2" s="114" customFormat="1" x14ac:dyDescent="0.25">
      <c r="A487" s="4" t="s">
        <v>62</v>
      </c>
      <c r="B487" s="4" t="s">
        <v>21</v>
      </c>
    </row>
    <row r="488" spans="1:2" s="114" customFormat="1" x14ac:dyDescent="0.25">
      <c r="A488" s="4" t="s">
        <v>62</v>
      </c>
      <c r="B488" s="4" t="s">
        <v>21</v>
      </c>
    </row>
    <row r="489" spans="1:2" s="114" customFormat="1" x14ac:dyDescent="0.25">
      <c r="A489" s="4" t="s">
        <v>62</v>
      </c>
      <c r="B489" s="4" t="s">
        <v>21</v>
      </c>
    </row>
    <row r="490" spans="1:2" s="114" customFormat="1" x14ac:dyDescent="0.25">
      <c r="A490" s="4" t="s">
        <v>62</v>
      </c>
      <c r="B490" s="4" t="s">
        <v>21</v>
      </c>
    </row>
    <row r="491" spans="1:2" s="114" customFormat="1" x14ac:dyDescent="0.25">
      <c r="A491" s="4" t="s">
        <v>65</v>
      </c>
      <c r="B491" s="4" t="s">
        <v>21</v>
      </c>
    </row>
    <row r="492" spans="1:2" s="114" customFormat="1" x14ac:dyDescent="0.25">
      <c r="A492" s="4" t="s">
        <v>75</v>
      </c>
      <c r="B492" s="4" t="s">
        <v>21</v>
      </c>
    </row>
    <row r="493" spans="1:2" s="114" customFormat="1" x14ac:dyDescent="0.25">
      <c r="A493" s="4" t="s">
        <v>581</v>
      </c>
      <c r="B493" s="4" t="s">
        <v>21</v>
      </c>
    </row>
    <row r="494" spans="1:2" s="114" customFormat="1" x14ac:dyDescent="0.25">
      <c r="A494" s="4" t="s">
        <v>62</v>
      </c>
      <c r="B494" s="4" t="s">
        <v>21</v>
      </c>
    </row>
    <row r="495" spans="1:2" s="114" customFormat="1" x14ac:dyDescent="0.25">
      <c r="A495" s="4" t="s">
        <v>62</v>
      </c>
      <c r="B495" s="4" t="s">
        <v>21</v>
      </c>
    </row>
    <row r="496" spans="1:2" s="114" customFormat="1" x14ac:dyDescent="0.25">
      <c r="A496" s="4" t="s">
        <v>75</v>
      </c>
      <c r="B496" s="4" t="s">
        <v>21</v>
      </c>
    </row>
    <row r="497" spans="1:2" s="114" customFormat="1" x14ac:dyDescent="0.25">
      <c r="A497" s="4" t="s">
        <v>75</v>
      </c>
      <c r="B497" s="4" t="s">
        <v>21</v>
      </c>
    </row>
    <row r="498" spans="1:2" s="114" customFormat="1" x14ac:dyDescent="0.25">
      <c r="A498" s="4" t="s">
        <v>75</v>
      </c>
      <c r="B498" s="4" t="s">
        <v>21</v>
      </c>
    </row>
    <row r="499" spans="1:2" s="114" customFormat="1" x14ac:dyDescent="0.25">
      <c r="A499" s="4" t="s">
        <v>59</v>
      </c>
      <c r="B499" s="4" t="s">
        <v>21</v>
      </c>
    </row>
    <row r="500" spans="1:2" s="114" customFormat="1" x14ac:dyDescent="0.25">
      <c r="A500" s="4" t="s">
        <v>72</v>
      </c>
      <c r="B500" s="4" t="s">
        <v>21</v>
      </c>
    </row>
    <row r="501" spans="1:2" s="114" customFormat="1" x14ac:dyDescent="0.25">
      <c r="A501" s="4" t="s">
        <v>72</v>
      </c>
      <c r="B501" s="4" t="s">
        <v>21</v>
      </c>
    </row>
    <row r="502" spans="1:2" s="114" customFormat="1" x14ac:dyDescent="0.25">
      <c r="A502" s="4" t="s">
        <v>62</v>
      </c>
      <c r="B502" s="4" t="s">
        <v>21</v>
      </c>
    </row>
    <row r="503" spans="1:2" s="114" customFormat="1" x14ac:dyDescent="0.25">
      <c r="A503" s="4" t="s">
        <v>62</v>
      </c>
      <c r="B503" s="4" t="s">
        <v>21</v>
      </c>
    </row>
    <row r="504" spans="1:2" s="114" customFormat="1" x14ac:dyDescent="0.25">
      <c r="A504" s="4" t="s">
        <v>65</v>
      </c>
      <c r="B504" s="4" t="s">
        <v>21</v>
      </c>
    </row>
    <row r="505" spans="1:2" s="114" customFormat="1" x14ac:dyDescent="0.25">
      <c r="A505" s="4" t="s">
        <v>75</v>
      </c>
      <c r="B505" s="4" t="s">
        <v>21</v>
      </c>
    </row>
    <row r="506" spans="1:2" s="114" customFormat="1" x14ac:dyDescent="0.25">
      <c r="A506" s="4" t="s">
        <v>75</v>
      </c>
      <c r="B506" s="4" t="s">
        <v>21</v>
      </c>
    </row>
    <row r="507" spans="1:2" s="114" customFormat="1" x14ac:dyDescent="0.25">
      <c r="A507" s="4" t="s">
        <v>75</v>
      </c>
      <c r="B507" s="4" t="s">
        <v>21</v>
      </c>
    </row>
    <row r="508" spans="1:2" s="114" customFormat="1" x14ac:dyDescent="0.25">
      <c r="A508" s="4" t="s">
        <v>69</v>
      </c>
      <c r="B508" s="4" t="s">
        <v>21</v>
      </c>
    </row>
    <row r="509" spans="1:2" s="114" customFormat="1" x14ac:dyDescent="0.25">
      <c r="A509" s="4" t="s">
        <v>64</v>
      </c>
      <c r="B509" s="4" t="s">
        <v>21</v>
      </c>
    </row>
    <row r="510" spans="1:2" s="114" customFormat="1" x14ac:dyDescent="0.25">
      <c r="A510" s="4" t="s">
        <v>68</v>
      </c>
      <c r="B510" s="4" t="s">
        <v>21</v>
      </c>
    </row>
    <row r="511" spans="1:2" s="114" customFormat="1" x14ac:dyDescent="0.25">
      <c r="A511" s="4" t="s">
        <v>581</v>
      </c>
      <c r="B511" s="4" t="s">
        <v>21</v>
      </c>
    </row>
    <row r="512" spans="1:2" s="114" customFormat="1" x14ac:dyDescent="0.25">
      <c r="A512" s="4" t="s">
        <v>75</v>
      </c>
      <c r="B512" s="4" t="s">
        <v>21</v>
      </c>
    </row>
    <row r="513" spans="1:2" s="114" customFormat="1" x14ac:dyDescent="0.25">
      <c r="A513" s="4" t="s">
        <v>62</v>
      </c>
      <c r="B513" s="4" t="s">
        <v>21</v>
      </c>
    </row>
    <row r="514" spans="1:2" s="114" customFormat="1" x14ac:dyDescent="0.25">
      <c r="A514" s="4" t="s">
        <v>67</v>
      </c>
      <c r="B514" s="4" t="s">
        <v>21</v>
      </c>
    </row>
    <row r="515" spans="1:2" s="114" customFormat="1" x14ac:dyDescent="0.25">
      <c r="A515" s="4" t="s">
        <v>62</v>
      </c>
      <c r="B515" s="4" t="s">
        <v>21</v>
      </c>
    </row>
    <row r="516" spans="1:2" s="114" customFormat="1" x14ac:dyDescent="0.25">
      <c r="A516" s="4" t="s">
        <v>65</v>
      </c>
      <c r="B516" s="4" t="s">
        <v>21</v>
      </c>
    </row>
    <row r="517" spans="1:2" s="114" customFormat="1" x14ac:dyDescent="0.25">
      <c r="A517" s="4" t="s">
        <v>75</v>
      </c>
      <c r="B517" s="4" t="s">
        <v>21</v>
      </c>
    </row>
    <row r="518" spans="1:2" s="114" customFormat="1" x14ac:dyDescent="0.25">
      <c r="A518" s="4" t="s">
        <v>581</v>
      </c>
      <c r="B518" s="4" t="s">
        <v>21</v>
      </c>
    </row>
    <row r="519" spans="1:2" s="114" customFormat="1" x14ac:dyDescent="0.25">
      <c r="A519" s="4" t="s">
        <v>62</v>
      </c>
      <c r="B519" s="4" t="s">
        <v>21</v>
      </c>
    </row>
    <row r="520" spans="1:2" s="114" customFormat="1" x14ac:dyDescent="0.25">
      <c r="A520" s="4" t="s">
        <v>75</v>
      </c>
      <c r="B520" s="4" t="s">
        <v>21</v>
      </c>
    </row>
    <row r="521" spans="1:2" s="114" customFormat="1" x14ac:dyDescent="0.25">
      <c r="A521" s="4" t="s">
        <v>75</v>
      </c>
      <c r="B521" s="4" t="s">
        <v>21</v>
      </c>
    </row>
    <row r="522" spans="1:2" s="114" customFormat="1" x14ac:dyDescent="0.25">
      <c r="A522" s="4" t="s">
        <v>60</v>
      </c>
      <c r="B522" s="4" t="s">
        <v>21</v>
      </c>
    </row>
    <row r="523" spans="1:2" s="114" customFormat="1" x14ac:dyDescent="0.25">
      <c r="A523" s="4" t="s">
        <v>67</v>
      </c>
      <c r="B523" s="4" t="s">
        <v>21</v>
      </c>
    </row>
    <row r="524" spans="1:2" s="114" customFormat="1" x14ac:dyDescent="0.25">
      <c r="A524" s="4" t="s">
        <v>72</v>
      </c>
      <c r="B524" s="4" t="s">
        <v>21</v>
      </c>
    </row>
    <row r="525" spans="1:2" s="114" customFormat="1" x14ac:dyDescent="0.25">
      <c r="A525" s="4" t="s">
        <v>62</v>
      </c>
      <c r="B525" s="4" t="s">
        <v>21</v>
      </c>
    </row>
    <row r="526" spans="1:2" s="114" customFormat="1" x14ac:dyDescent="0.25">
      <c r="A526" s="4" t="s">
        <v>65</v>
      </c>
      <c r="B526" s="4" t="s">
        <v>21</v>
      </c>
    </row>
    <row r="527" spans="1:2" s="114" customFormat="1" x14ac:dyDescent="0.25">
      <c r="A527" s="4" t="s">
        <v>75</v>
      </c>
      <c r="B527" s="4" t="s">
        <v>21</v>
      </c>
    </row>
    <row r="528" spans="1:2" s="114" customFormat="1" x14ac:dyDescent="0.25">
      <c r="A528" s="4" t="s">
        <v>61</v>
      </c>
      <c r="B528" s="4" t="s">
        <v>21</v>
      </c>
    </row>
    <row r="529" spans="1:2" s="114" customFormat="1" x14ac:dyDescent="0.25">
      <c r="A529" s="4" t="s">
        <v>63</v>
      </c>
      <c r="B529" s="4" t="s">
        <v>21</v>
      </c>
    </row>
    <row r="530" spans="1:2" s="114" customFormat="1" x14ac:dyDescent="0.25">
      <c r="A530" s="4" t="s">
        <v>68</v>
      </c>
      <c r="B530" s="4" t="s">
        <v>21</v>
      </c>
    </row>
    <row r="531" spans="1:2" s="114" customFormat="1" x14ac:dyDescent="0.25">
      <c r="A531" s="4" t="s">
        <v>73</v>
      </c>
      <c r="B531" s="4" t="s">
        <v>21</v>
      </c>
    </row>
    <row r="532" spans="1:2" s="114" customFormat="1" x14ac:dyDescent="0.25">
      <c r="A532" s="4" t="s">
        <v>62</v>
      </c>
      <c r="B532" s="4" t="s">
        <v>21</v>
      </c>
    </row>
    <row r="533" spans="1:2" s="114" customFormat="1" x14ac:dyDescent="0.25">
      <c r="A533" s="4" t="s">
        <v>70</v>
      </c>
      <c r="B533" s="4" t="s">
        <v>21</v>
      </c>
    </row>
    <row r="534" spans="1:2" s="114" customFormat="1" x14ac:dyDescent="0.25">
      <c r="A534" s="4" t="s">
        <v>73</v>
      </c>
      <c r="B534" s="4" t="s">
        <v>21</v>
      </c>
    </row>
    <row r="535" spans="1:2" s="114" customFormat="1" x14ac:dyDescent="0.25">
      <c r="A535" s="4" t="s">
        <v>59</v>
      </c>
      <c r="B535" s="4" t="s">
        <v>21</v>
      </c>
    </row>
    <row r="536" spans="1:2" s="114" customFormat="1" x14ac:dyDescent="0.25">
      <c r="A536" s="4" t="s">
        <v>64</v>
      </c>
      <c r="B536" s="4" t="s">
        <v>21</v>
      </c>
    </row>
    <row r="537" spans="1:2" s="114" customFormat="1" x14ac:dyDescent="0.25">
      <c r="A537" s="4" t="s">
        <v>72</v>
      </c>
      <c r="B537" s="4" t="s">
        <v>21</v>
      </c>
    </row>
    <row r="538" spans="1:2" s="114" customFormat="1" x14ac:dyDescent="0.25">
      <c r="A538" s="4" t="s">
        <v>72</v>
      </c>
      <c r="B538" s="4" t="s">
        <v>21</v>
      </c>
    </row>
    <row r="539" spans="1:2" s="114" customFormat="1" x14ac:dyDescent="0.25">
      <c r="A539" s="4" t="s">
        <v>75</v>
      </c>
      <c r="B539" s="4" t="s">
        <v>21</v>
      </c>
    </row>
    <row r="540" spans="1:2" s="114" customFormat="1" x14ac:dyDescent="0.25">
      <c r="A540" s="4" t="s">
        <v>72</v>
      </c>
      <c r="B540" s="4" t="s">
        <v>21</v>
      </c>
    </row>
    <row r="541" spans="1:2" s="114" customFormat="1" x14ac:dyDescent="0.25">
      <c r="A541" s="4" t="s">
        <v>72</v>
      </c>
      <c r="B541" s="4" t="s">
        <v>22</v>
      </c>
    </row>
    <row r="542" spans="1:2" s="114" customFormat="1" x14ac:dyDescent="0.25">
      <c r="A542" s="4" t="s">
        <v>69</v>
      </c>
      <c r="B542" s="4" t="s">
        <v>22</v>
      </c>
    </row>
    <row r="543" spans="1:2" s="114" customFormat="1" x14ac:dyDescent="0.25">
      <c r="A543" s="4" t="s">
        <v>72</v>
      </c>
      <c r="B543" s="4" t="s">
        <v>22</v>
      </c>
    </row>
    <row r="544" spans="1:2" s="114" customFormat="1" x14ac:dyDescent="0.25">
      <c r="A544" s="4" t="s">
        <v>72</v>
      </c>
      <c r="B544" s="4" t="s">
        <v>22</v>
      </c>
    </row>
    <row r="545" spans="1:2" s="114" customFormat="1" x14ac:dyDescent="0.25">
      <c r="A545" s="4" t="s">
        <v>72</v>
      </c>
      <c r="B545" s="4" t="s">
        <v>22</v>
      </c>
    </row>
    <row r="546" spans="1:2" s="114" customFormat="1" x14ac:dyDescent="0.25">
      <c r="A546" s="4" t="s">
        <v>72</v>
      </c>
      <c r="B546" s="4" t="s">
        <v>22</v>
      </c>
    </row>
    <row r="547" spans="1:2" s="114" customFormat="1" x14ac:dyDescent="0.25">
      <c r="A547" s="4" t="s">
        <v>69</v>
      </c>
      <c r="B547" s="4" t="s">
        <v>22</v>
      </c>
    </row>
    <row r="548" spans="1:2" s="114" customFormat="1" x14ac:dyDescent="0.25">
      <c r="A548" s="4" t="s">
        <v>69</v>
      </c>
      <c r="B548" s="4" t="s">
        <v>22</v>
      </c>
    </row>
    <row r="549" spans="1:2" s="114" customFormat="1" x14ac:dyDescent="0.25">
      <c r="A549" s="4" t="s">
        <v>68</v>
      </c>
      <c r="B549" s="4" t="s">
        <v>22</v>
      </c>
    </row>
    <row r="550" spans="1:2" s="114" customFormat="1" x14ac:dyDescent="0.25">
      <c r="A550" s="4" t="s">
        <v>73</v>
      </c>
      <c r="B550" s="4" t="s">
        <v>22</v>
      </c>
    </row>
    <row r="551" spans="1:2" s="114" customFormat="1" x14ac:dyDescent="0.25">
      <c r="A551" s="4" t="s">
        <v>73</v>
      </c>
      <c r="B551" s="4" t="s">
        <v>22</v>
      </c>
    </row>
    <row r="552" spans="1:2" s="114" customFormat="1" x14ac:dyDescent="0.25">
      <c r="A552" s="4" t="s">
        <v>72</v>
      </c>
      <c r="B552" s="4" t="s">
        <v>22</v>
      </c>
    </row>
    <row r="553" spans="1:2" s="114" customFormat="1" x14ac:dyDescent="0.25">
      <c r="A553" s="4" t="s">
        <v>72</v>
      </c>
      <c r="B553" s="4" t="s">
        <v>22</v>
      </c>
    </row>
    <row r="554" spans="1:2" s="114" customFormat="1" x14ac:dyDescent="0.25">
      <c r="A554" s="4" t="s">
        <v>72</v>
      </c>
      <c r="B554" s="4" t="s">
        <v>22</v>
      </c>
    </row>
    <row r="555" spans="1:2" s="114" customFormat="1" x14ac:dyDescent="0.25">
      <c r="A555" s="4" t="s">
        <v>65</v>
      </c>
      <c r="B555" s="4" t="s">
        <v>22</v>
      </c>
    </row>
    <row r="556" spans="1:2" s="114" customFormat="1" x14ac:dyDescent="0.25">
      <c r="A556" s="4" t="s">
        <v>69</v>
      </c>
      <c r="B556" s="4" t="s">
        <v>22</v>
      </c>
    </row>
    <row r="557" spans="1:2" s="114" customFormat="1" x14ac:dyDescent="0.25">
      <c r="A557" s="4" t="s">
        <v>61</v>
      </c>
      <c r="B557" s="4" t="s">
        <v>22</v>
      </c>
    </row>
    <row r="558" spans="1:2" s="114" customFormat="1" x14ac:dyDescent="0.25">
      <c r="A558" s="4" t="s">
        <v>68</v>
      </c>
      <c r="B558" s="4" t="s">
        <v>22</v>
      </c>
    </row>
    <row r="559" spans="1:2" s="114" customFormat="1" x14ac:dyDescent="0.25">
      <c r="A559" s="4" t="s">
        <v>73</v>
      </c>
      <c r="B559" s="4" t="s">
        <v>22</v>
      </c>
    </row>
    <row r="560" spans="1:2" s="114" customFormat="1" x14ac:dyDescent="0.25">
      <c r="A560" s="4" t="s">
        <v>72</v>
      </c>
      <c r="B560" s="4" t="s">
        <v>22</v>
      </c>
    </row>
    <row r="561" spans="1:2" s="114" customFormat="1" x14ac:dyDescent="0.25">
      <c r="A561" s="4" t="s">
        <v>72</v>
      </c>
      <c r="B561" s="4" t="s">
        <v>22</v>
      </c>
    </row>
    <row r="562" spans="1:2" s="114" customFormat="1" x14ac:dyDescent="0.25">
      <c r="A562" s="4" t="s">
        <v>72</v>
      </c>
      <c r="B562" s="4" t="s">
        <v>22</v>
      </c>
    </row>
    <row r="563" spans="1:2" s="114" customFormat="1" x14ac:dyDescent="0.25">
      <c r="A563" s="4" t="s">
        <v>72</v>
      </c>
      <c r="B563" s="4" t="s">
        <v>22</v>
      </c>
    </row>
    <row r="564" spans="1:2" s="114" customFormat="1" x14ac:dyDescent="0.25">
      <c r="A564" s="4" t="s">
        <v>72</v>
      </c>
      <c r="B564" s="4" t="s">
        <v>22</v>
      </c>
    </row>
    <row r="565" spans="1:2" s="114" customFormat="1" x14ac:dyDescent="0.25">
      <c r="A565" s="4" t="s">
        <v>69</v>
      </c>
      <c r="B565" s="4" t="s">
        <v>22</v>
      </c>
    </row>
    <row r="566" spans="1:2" s="114" customFormat="1" x14ac:dyDescent="0.25">
      <c r="A566" s="4" t="s">
        <v>73</v>
      </c>
      <c r="B566" s="4" t="s">
        <v>22</v>
      </c>
    </row>
    <row r="567" spans="1:2" s="114" customFormat="1" x14ac:dyDescent="0.25">
      <c r="A567" s="4" t="s">
        <v>73</v>
      </c>
      <c r="B567" s="4" t="s">
        <v>22</v>
      </c>
    </row>
    <row r="568" spans="1:2" s="114" customFormat="1" x14ac:dyDescent="0.25">
      <c r="A568" s="4" t="s">
        <v>67</v>
      </c>
      <c r="B568" s="4" t="s">
        <v>22</v>
      </c>
    </row>
    <row r="569" spans="1:2" s="114" customFormat="1" x14ac:dyDescent="0.25">
      <c r="A569" s="4" t="s">
        <v>62</v>
      </c>
      <c r="B569" s="4" t="s">
        <v>22</v>
      </c>
    </row>
    <row r="570" spans="1:2" s="114" customFormat="1" x14ac:dyDescent="0.25">
      <c r="A570" s="4" t="s">
        <v>67</v>
      </c>
      <c r="B570" s="4" t="s">
        <v>22</v>
      </c>
    </row>
    <row r="571" spans="1:2" s="114" customFormat="1" x14ac:dyDescent="0.25">
      <c r="A571" s="4" t="s">
        <v>71</v>
      </c>
      <c r="B571" s="4" t="s">
        <v>22</v>
      </c>
    </row>
    <row r="572" spans="1:2" s="114" customFormat="1" x14ac:dyDescent="0.25">
      <c r="A572" s="4" t="s">
        <v>73</v>
      </c>
      <c r="B572" s="4" t="s">
        <v>22</v>
      </c>
    </row>
    <row r="573" spans="1:2" s="114" customFormat="1" x14ac:dyDescent="0.25">
      <c r="A573" s="4" t="s">
        <v>71</v>
      </c>
      <c r="B573" s="4" t="s">
        <v>22</v>
      </c>
    </row>
    <row r="574" spans="1:2" s="114" customFormat="1" x14ac:dyDescent="0.25">
      <c r="A574" s="4" t="s">
        <v>72</v>
      </c>
      <c r="B574" s="4" t="s">
        <v>22</v>
      </c>
    </row>
    <row r="575" spans="1:2" s="114" customFormat="1" x14ac:dyDescent="0.25">
      <c r="A575" s="4" t="s">
        <v>72</v>
      </c>
      <c r="B575" s="4" t="s">
        <v>22</v>
      </c>
    </row>
    <row r="576" spans="1:2" s="114" customFormat="1" x14ac:dyDescent="0.25">
      <c r="A576" s="4" t="s">
        <v>72</v>
      </c>
      <c r="B576" s="4" t="s">
        <v>22</v>
      </c>
    </row>
    <row r="577" spans="1:2" s="114" customFormat="1" x14ac:dyDescent="0.25">
      <c r="A577" s="4" t="s">
        <v>62</v>
      </c>
      <c r="B577" s="4" t="s">
        <v>22</v>
      </c>
    </row>
    <row r="578" spans="1:2" s="114" customFormat="1" x14ac:dyDescent="0.25">
      <c r="A578" s="4" t="s">
        <v>75</v>
      </c>
      <c r="B578" s="4" t="s">
        <v>22</v>
      </c>
    </row>
    <row r="579" spans="1:2" s="114" customFormat="1" x14ac:dyDescent="0.25">
      <c r="A579" s="4" t="s">
        <v>73</v>
      </c>
      <c r="B579" s="4" t="s">
        <v>22</v>
      </c>
    </row>
    <row r="580" spans="1:2" s="114" customFormat="1" x14ac:dyDescent="0.25">
      <c r="A580" s="4" t="s">
        <v>73</v>
      </c>
      <c r="B580" s="4" t="s">
        <v>22</v>
      </c>
    </row>
    <row r="581" spans="1:2" s="114" customFormat="1" x14ac:dyDescent="0.25">
      <c r="A581" s="4" t="s">
        <v>73</v>
      </c>
      <c r="B581" s="4" t="s">
        <v>22</v>
      </c>
    </row>
    <row r="582" spans="1:2" s="114" customFormat="1" x14ac:dyDescent="0.25">
      <c r="A582" s="4" t="s">
        <v>71</v>
      </c>
      <c r="B582" s="4" t="s">
        <v>22</v>
      </c>
    </row>
    <row r="583" spans="1:2" s="114" customFormat="1" x14ac:dyDescent="0.25">
      <c r="A583" s="4" t="s">
        <v>72</v>
      </c>
      <c r="B583" s="4" t="s">
        <v>22</v>
      </c>
    </row>
    <row r="584" spans="1:2" s="114" customFormat="1" x14ac:dyDescent="0.25">
      <c r="A584" s="4" t="s">
        <v>75</v>
      </c>
      <c r="B584" s="4" t="s">
        <v>22</v>
      </c>
    </row>
    <row r="585" spans="1:2" s="114" customFormat="1" x14ac:dyDescent="0.25">
      <c r="A585" s="4" t="s">
        <v>75</v>
      </c>
      <c r="B585" s="4" t="s">
        <v>22</v>
      </c>
    </row>
    <row r="586" spans="1:2" s="114" customFormat="1" x14ac:dyDescent="0.25">
      <c r="A586" s="4" t="s">
        <v>69</v>
      </c>
      <c r="B586" s="4" t="s">
        <v>22</v>
      </c>
    </row>
    <row r="587" spans="1:2" s="114" customFormat="1" x14ac:dyDescent="0.25">
      <c r="A587" s="4" t="s">
        <v>73</v>
      </c>
      <c r="B587" s="4" t="s">
        <v>22</v>
      </c>
    </row>
    <row r="588" spans="1:2" s="114" customFormat="1" x14ac:dyDescent="0.25">
      <c r="A588" s="4" t="s">
        <v>73</v>
      </c>
      <c r="B588" s="4" t="s">
        <v>22</v>
      </c>
    </row>
    <row r="589" spans="1:2" s="114" customFormat="1" x14ac:dyDescent="0.25">
      <c r="A589" s="4" t="s">
        <v>72</v>
      </c>
      <c r="B589" s="4" t="s">
        <v>22</v>
      </c>
    </row>
    <row r="590" spans="1:2" s="114" customFormat="1" x14ac:dyDescent="0.25">
      <c r="A590" s="4" t="s">
        <v>75</v>
      </c>
      <c r="B590" s="4" t="s">
        <v>22</v>
      </c>
    </row>
    <row r="591" spans="1:2" s="114" customFormat="1" x14ac:dyDescent="0.25">
      <c r="A591" s="4" t="s">
        <v>68</v>
      </c>
      <c r="B591" s="4" t="s">
        <v>22</v>
      </c>
    </row>
    <row r="592" spans="1:2" s="114" customFormat="1" x14ac:dyDescent="0.25">
      <c r="A592" s="4" t="s">
        <v>68</v>
      </c>
      <c r="B592" s="4" t="s">
        <v>22</v>
      </c>
    </row>
    <row r="593" spans="1:2" s="114" customFormat="1" x14ac:dyDescent="0.25">
      <c r="A593" s="4" t="s">
        <v>68</v>
      </c>
      <c r="B593" s="4" t="s">
        <v>22</v>
      </c>
    </row>
    <row r="594" spans="1:2" s="114" customFormat="1" x14ac:dyDescent="0.25">
      <c r="A594" s="4" t="s">
        <v>73</v>
      </c>
      <c r="B594" s="4" t="s">
        <v>22</v>
      </c>
    </row>
    <row r="595" spans="1:2" s="114" customFormat="1" x14ac:dyDescent="0.25">
      <c r="A595" s="4" t="s">
        <v>68</v>
      </c>
      <c r="B595" s="4" t="s">
        <v>22</v>
      </c>
    </row>
    <row r="596" spans="1:2" s="114" customFormat="1" x14ac:dyDescent="0.25">
      <c r="A596" s="4" t="s">
        <v>72</v>
      </c>
      <c r="B596" s="4" t="s">
        <v>22</v>
      </c>
    </row>
    <row r="597" spans="1:2" s="114" customFormat="1" x14ac:dyDescent="0.25">
      <c r="A597" s="4" t="s">
        <v>72</v>
      </c>
      <c r="B597" s="4" t="s">
        <v>22</v>
      </c>
    </row>
    <row r="598" spans="1:2" s="114" customFormat="1" x14ac:dyDescent="0.25">
      <c r="A598" s="4" t="s">
        <v>72</v>
      </c>
      <c r="B598" s="4" t="s">
        <v>22</v>
      </c>
    </row>
    <row r="599" spans="1:2" s="114" customFormat="1" x14ac:dyDescent="0.25">
      <c r="A599" s="4" t="s">
        <v>72</v>
      </c>
      <c r="B599" s="4" t="s">
        <v>22</v>
      </c>
    </row>
    <row r="600" spans="1:2" s="114" customFormat="1" x14ac:dyDescent="0.25">
      <c r="A600" s="4" t="s">
        <v>72</v>
      </c>
      <c r="B600" s="4" t="s">
        <v>22</v>
      </c>
    </row>
    <row r="601" spans="1:2" s="114" customFormat="1" x14ac:dyDescent="0.25">
      <c r="A601" s="4" t="s">
        <v>72</v>
      </c>
      <c r="B601" s="4" t="s">
        <v>22</v>
      </c>
    </row>
    <row r="602" spans="1:2" s="114" customFormat="1" x14ac:dyDescent="0.25">
      <c r="A602" s="4" t="s">
        <v>75</v>
      </c>
      <c r="B602" s="4" t="s">
        <v>22</v>
      </c>
    </row>
    <row r="603" spans="1:2" s="114" customFormat="1" x14ac:dyDescent="0.25">
      <c r="A603" s="4" t="s">
        <v>69</v>
      </c>
      <c r="B603" s="4" t="s">
        <v>22</v>
      </c>
    </row>
    <row r="604" spans="1:2" s="114" customFormat="1" x14ac:dyDescent="0.25">
      <c r="A604" s="4" t="s">
        <v>68</v>
      </c>
      <c r="B604" s="4" t="s">
        <v>22</v>
      </c>
    </row>
    <row r="605" spans="1:2" s="114" customFormat="1" x14ac:dyDescent="0.25">
      <c r="A605" s="4" t="s">
        <v>72</v>
      </c>
      <c r="B605" s="4" t="s">
        <v>22</v>
      </c>
    </row>
    <row r="606" spans="1:2" s="114" customFormat="1" x14ac:dyDescent="0.25">
      <c r="A606" s="4" t="s">
        <v>63</v>
      </c>
      <c r="B606" s="4" t="s">
        <v>23</v>
      </c>
    </row>
    <row r="607" spans="1:2" s="114" customFormat="1" x14ac:dyDescent="0.25">
      <c r="A607" s="4" t="s">
        <v>72</v>
      </c>
      <c r="B607" s="4" t="s">
        <v>23</v>
      </c>
    </row>
    <row r="608" spans="1:2" s="114" customFormat="1" x14ac:dyDescent="0.25">
      <c r="A608" s="4" t="s">
        <v>72</v>
      </c>
      <c r="B608" s="4" t="s">
        <v>23</v>
      </c>
    </row>
    <row r="609" spans="1:2" s="114" customFormat="1" x14ac:dyDescent="0.25">
      <c r="A609" s="4" t="s">
        <v>72</v>
      </c>
      <c r="B609" s="4" t="s">
        <v>23</v>
      </c>
    </row>
    <row r="610" spans="1:2" s="114" customFormat="1" x14ac:dyDescent="0.25">
      <c r="A610" s="4" t="s">
        <v>72</v>
      </c>
      <c r="B610" s="4" t="s">
        <v>23</v>
      </c>
    </row>
    <row r="611" spans="1:2" s="114" customFormat="1" x14ac:dyDescent="0.25">
      <c r="A611" s="4" t="s">
        <v>62</v>
      </c>
      <c r="B611" s="4" t="s">
        <v>23</v>
      </c>
    </row>
    <row r="612" spans="1:2" s="114" customFormat="1" x14ac:dyDescent="0.25">
      <c r="A612" s="4" t="s">
        <v>69</v>
      </c>
      <c r="B612" s="4" t="s">
        <v>23</v>
      </c>
    </row>
    <row r="613" spans="1:2" s="114" customFormat="1" x14ac:dyDescent="0.25">
      <c r="A613" s="4" t="s">
        <v>68</v>
      </c>
      <c r="B613" s="4" t="s">
        <v>23</v>
      </c>
    </row>
    <row r="614" spans="1:2" s="114" customFormat="1" x14ac:dyDescent="0.25">
      <c r="A614" s="4" t="s">
        <v>68</v>
      </c>
      <c r="B614" s="4" t="s">
        <v>23</v>
      </c>
    </row>
    <row r="615" spans="1:2" s="114" customFormat="1" x14ac:dyDescent="0.25">
      <c r="A615" s="4" t="s">
        <v>68</v>
      </c>
      <c r="B615" s="4" t="s">
        <v>23</v>
      </c>
    </row>
    <row r="616" spans="1:2" s="114" customFormat="1" x14ac:dyDescent="0.25">
      <c r="A616" s="4" t="s">
        <v>68</v>
      </c>
      <c r="B616" s="4" t="s">
        <v>23</v>
      </c>
    </row>
    <row r="617" spans="1:2" s="114" customFormat="1" x14ac:dyDescent="0.25">
      <c r="A617" s="4" t="s">
        <v>72</v>
      </c>
      <c r="B617" s="4" t="s">
        <v>23</v>
      </c>
    </row>
    <row r="618" spans="1:2" s="114" customFormat="1" x14ac:dyDescent="0.25">
      <c r="A618" s="4" t="s">
        <v>72</v>
      </c>
      <c r="B618" s="4" t="s">
        <v>23</v>
      </c>
    </row>
    <row r="619" spans="1:2" s="114" customFormat="1" x14ac:dyDescent="0.25">
      <c r="A619" s="4" t="s">
        <v>72</v>
      </c>
      <c r="B619" s="4" t="s">
        <v>23</v>
      </c>
    </row>
    <row r="620" spans="1:2" s="114" customFormat="1" x14ac:dyDescent="0.25">
      <c r="A620" s="4" t="s">
        <v>72</v>
      </c>
      <c r="B620" s="4" t="s">
        <v>23</v>
      </c>
    </row>
    <row r="621" spans="1:2" s="114" customFormat="1" x14ac:dyDescent="0.25">
      <c r="A621" s="4" t="s">
        <v>72</v>
      </c>
      <c r="B621" s="4" t="s">
        <v>23</v>
      </c>
    </row>
    <row r="622" spans="1:2" s="114" customFormat="1" x14ac:dyDescent="0.25">
      <c r="A622" s="4" t="s">
        <v>72</v>
      </c>
      <c r="B622" s="4" t="s">
        <v>23</v>
      </c>
    </row>
    <row r="623" spans="1:2" s="114" customFormat="1" x14ac:dyDescent="0.25">
      <c r="A623" s="4" t="s">
        <v>75</v>
      </c>
      <c r="B623" s="4" t="s">
        <v>23</v>
      </c>
    </row>
    <row r="624" spans="1:2" s="114" customFormat="1" x14ac:dyDescent="0.25">
      <c r="A624" s="4" t="s">
        <v>72</v>
      </c>
      <c r="B624" s="4" t="s">
        <v>23</v>
      </c>
    </row>
    <row r="625" spans="1:2" s="114" customFormat="1" x14ac:dyDescent="0.25">
      <c r="A625" s="4" t="s">
        <v>72</v>
      </c>
      <c r="B625" s="4" t="s">
        <v>23</v>
      </c>
    </row>
    <row r="626" spans="1:2" s="114" customFormat="1" x14ac:dyDescent="0.25">
      <c r="A626" s="4" t="s">
        <v>62</v>
      </c>
      <c r="B626" s="4" t="s">
        <v>23</v>
      </c>
    </row>
    <row r="627" spans="1:2" s="114" customFormat="1" x14ac:dyDescent="0.25">
      <c r="A627" s="4" t="s">
        <v>65</v>
      </c>
      <c r="B627" s="4" t="s">
        <v>23</v>
      </c>
    </row>
    <row r="628" spans="1:2" s="114" customFormat="1" x14ac:dyDescent="0.25">
      <c r="A628" s="4" t="s">
        <v>61</v>
      </c>
      <c r="B628" s="4" t="s">
        <v>23</v>
      </c>
    </row>
    <row r="629" spans="1:2" s="114" customFormat="1" x14ac:dyDescent="0.25">
      <c r="A629" s="4" t="s">
        <v>68</v>
      </c>
      <c r="B629" s="4" t="s">
        <v>23</v>
      </c>
    </row>
    <row r="630" spans="1:2" s="114" customFormat="1" x14ac:dyDescent="0.25">
      <c r="A630" s="4" t="s">
        <v>73</v>
      </c>
      <c r="B630" s="4" t="s">
        <v>23</v>
      </c>
    </row>
    <row r="631" spans="1:2" s="114" customFormat="1" x14ac:dyDescent="0.25">
      <c r="A631" s="4" t="s">
        <v>73</v>
      </c>
      <c r="B631" s="4" t="s">
        <v>23</v>
      </c>
    </row>
    <row r="632" spans="1:2" s="114" customFormat="1" x14ac:dyDescent="0.25">
      <c r="A632" s="4" t="s">
        <v>67</v>
      </c>
      <c r="B632" s="4" t="s">
        <v>23</v>
      </c>
    </row>
    <row r="633" spans="1:2" s="114" customFormat="1" x14ac:dyDescent="0.25">
      <c r="A633" s="4" t="s">
        <v>62</v>
      </c>
      <c r="B633" s="4" t="s">
        <v>23</v>
      </c>
    </row>
    <row r="634" spans="1:2" s="114" customFormat="1" x14ac:dyDescent="0.25">
      <c r="A634" s="4" t="s">
        <v>75</v>
      </c>
      <c r="B634" s="4" t="s">
        <v>23</v>
      </c>
    </row>
    <row r="635" spans="1:2" s="114" customFormat="1" x14ac:dyDescent="0.25">
      <c r="A635" s="4" t="s">
        <v>68</v>
      </c>
      <c r="B635" s="4" t="s">
        <v>23</v>
      </c>
    </row>
    <row r="636" spans="1:2" s="114" customFormat="1" x14ac:dyDescent="0.25">
      <c r="A636" s="4" t="s">
        <v>68</v>
      </c>
      <c r="B636" s="4" t="s">
        <v>23</v>
      </c>
    </row>
    <row r="637" spans="1:2" s="114" customFormat="1" x14ac:dyDescent="0.25">
      <c r="A637" s="4" t="s">
        <v>62</v>
      </c>
      <c r="B637" s="4" t="s">
        <v>23</v>
      </c>
    </row>
    <row r="638" spans="1:2" s="114" customFormat="1" x14ac:dyDescent="0.25">
      <c r="A638" s="4" t="s">
        <v>72</v>
      </c>
      <c r="B638" s="4" t="s">
        <v>23</v>
      </c>
    </row>
    <row r="639" spans="1:2" s="114" customFormat="1" x14ac:dyDescent="0.25">
      <c r="A639" s="4" t="s">
        <v>72</v>
      </c>
      <c r="B639" s="4" t="s">
        <v>23</v>
      </c>
    </row>
    <row r="640" spans="1:2" s="114" customFormat="1" x14ac:dyDescent="0.25">
      <c r="A640" s="4" t="s">
        <v>62</v>
      </c>
      <c r="B640" s="4" t="s">
        <v>23</v>
      </c>
    </row>
    <row r="641" spans="1:2" s="114" customFormat="1" x14ac:dyDescent="0.25">
      <c r="A641" s="4" t="s">
        <v>68</v>
      </c>
      <c r="B641" s="4" t="s">
        <v>24</v>
      </c>
    </row>
    <row r="642" spans="1:2" s="114" customFormat="1" x14ac:dyDescent="0.25">
      <c r="A642" s="4" t="s">
        <v>62</v>
      </c>
      <c r="B642" s="4" t="s">
        <v>24</v>
      </c>
    </row>
    <row r="643" spans="1:2" s="114" customFormat="1" x14ac:dyDescent="0.25">
      <c r="A643" s="4" t="s">
        <v>68</v>
      </c>
      <c r="B643" s="4" t="s">
        <v>24</v>
      </c>
    </row>
    <row r="644" spans="1:2" s="114" customFormat="1" x14ac:dyDescent="0.25">
      <c r="A644" s="4" t="s">
        <v>72</v>
      </c>
      <c r="B644" s="4" t="s">
        <v>24</v>
      </c>
    </row>
    <row r="645" spans="1:2" s="114" customFormat="1" x14ac:dyDescent="0.25">
      <c r="A645" s="4" t="s">
        <v>72</v>
      </c>
      <c r="B645" s="4" t="s">
        <v>24</v>
      </c>
    </row>
    <row r="646" spans="1:2" s="114" customFormat="1" x14ac:dyDescent="0.25">
      <c r="A646" s="4" t="s">
        <v>62</v>
      </c>
      <c r="B646" s="4" t="s">
        <v>24</v>
      </c>
    </row>
    <row r="647" spans="1:2" s="114" customFormat="1" x14ac:dyDescent="0.25">
      <c r="A647" s="4" t="s">
        <v>75</v>
      </c>
      <c r="B647" s="4" t="s">
        <v>24</v>
      </c>
    </row>
    <row r="648" spans="1:2" s="114" customFormat="1" x14ac:dyDescent="0.25">
      <c r="A648" s="4" t="s">
        <v>75</v>
      </c>
      <c r="B648" s="4" t="s">
        <v>24</v>
      </c>
    </row>
    <row r="649" spans="1:2" s="114" customFormat="1" x14ac:dyDescent="0.25">
      <c r="A649" s="4" t="s">
        <v>75</v>
      </c>
      <c r="B649" s="4" t="s">
        <v>24</v>
      </c>
    </row>
    <row r="650" spans="1:2" s="114" customFormat="1" x14ac:dyDescent="0.25">
      <c r="A650" s="4" t="s">
        <v>68</v>
      </c>
      <c r="B650" s="4" t="s">
        <v>24</v>
      </c>
    </row>
    <row r="651" spans="1:2" s="114" customFormat="1" x14ac:dyDescent="0.25">
      <c r="A651" s="4" t="s">
        <v>72</v>
      </c>
      <c r="B651" s="4" t="s">
        <v>24</v>
      </c>
    </row>
    <row r="652" spans="1:2" s="114" customFormat="1" x14ac:dyDescent="0.25">
      <c r="A652" s="4" t="s">
        <v>72</v>
      </c>
      <c r="B652" s="4" t="s">
        <v>24</v>
      </c>
    </row>
    <row r="653" spans="1:2" s="114" customFormat="1" x14ac:dyDescent="0.25">
      <c r="A653" s="4" t="s">
        <v>72</v>
      </c>
      <c r="B653" s="4" t="s">
        <v>24</v>
      </c>
    </row>
    <row r="654" spans="1:2" s="114" customFormat="1" x14ac:dyDescent="0.25">
      <c r="A654" s="4" t="s">
        <v>62</v>
      </c>
      <c r="B654" s="4" t="s">
        <v>24</v>
      </c>
    </row>
    <row r="655" spans="1:2" s="114" customFormat="1" x14ac:dyDescent="0.25">
      <c r="A655" s="4" t="s">
        <v>66</v>
      </c>
      <c r="B655" s="4" t="s">
        <v>24</v>
      </c>
    </row>
    <row r="656" spans="1:2" s="114" customFormat="1" x14ac:dyDescent="0.25">
      <c r="A656" s="4" t="s">
        <v>68</v>
      </c>
      <c r="B656" s="4" t="s">
        <v>24</v>
      </c>
    </row>
    <row r="657" spans="1:2" s="114" customFormat="1" x14ac:dyDescent="0.25">
      <c r="A657" s="4" t="s">
        <v>67</v>
      </c>
      <c r="B657" s="4" t="s">
        <v>25</v>
      </c>
    </row>
    <row r="658" spans="1:2" s="114" customFormat="1" x14ac:dyDescent="0.25">
      <c r="A658" s="4" t="s">
        <v>67</v>
      </c>
      <c r="B658" s="4" t="s">
        <v>25</v>
      </c>
    </row>
    <row r="659" spans="1:2" s="114" customFormat="1" x14ac:dyDescent="0.25">
      <c r="A659" s="4" t="s">
        <v>67</v>
      </c>
      <c r="B659" s="4" t="s">
        <v>25</v>
      </c>
    </row>
    <row r="660" spans="1:2" s="114" customFormat="1" x14ac:dyDescent="0.25">
      <c r="A660" s="4" t="s">
        <v>67</v>
      </c>
      <c r="B660" s="4" t="s">
        <v>25</v>
      </c>
    </row>
    <row r="661" spans="1:2" s="114" customFormat="1" x14ac:dyDescent="0.25">
      <c r="A661" s="4" t="s">
        <v>67</v>
      </c>
      <c r="B661" s="4" t="s">
        <v>25</v>
      </c>
    </row>
    <row r="662" spans="1:2" s="114" customFormat="1" x14ac:dyDescent="0.25">
      <c r="A662" s="4" t="s">
        <v>67</v>
      </c>
      <c r="B662" s="4" t="s">
        <v>25</v>
      </c>
    </row>
    <row r="663" spans="1:2" s="114" customFormat="1" x14ac:dyDescent="0.25">
      <c r="A663" s="4" t="s">
        <v>67</v>
      </c>
      <c r="B663" s="4" t="s">
        <v>25</v>
      </c>
    </row>
    <row r="664" spans="1:2" s="114" customFormat="1" x14ac:dyDescent="0.25">
      <c r="A664" s="4" t="s">
        <v>67</v>
      </c>
      <c r="B664" s="4" t="s">
        <v>25</v>
      </c>
    </row>
    <row r="665" spans="1:2" s="114" customFormat="1" x14ac:dyDescent="0.25">
      <c r="A665" s="4" t="s">
        <v>67</v>
      </c>
      <c r="B665" s="4" t="s">
        <v>25</v>
      </c>
    </row>
    <row r="666" spans="1:2" s="114" customFormat="1" x14ac:dyDescent="0.25">
      <c r="A666" s="4" t="s">
        <v>67</v>
      </c>
      <c r="B666" s="4" t="s">
        <v>25</v>
      </c>
    </row>
    <row r="667" spans="1:2" s="114" customFormat="1" x14ac:dyDescent="0.25">
      <c r="A667" s="4" t="s">
        <v>67</v>
      </c>
      <c r="B667" s="4" t="s">
        <v>25</v>
      </c>
    </row>
    <row r="668" spans="1:2" s="114" customFormat="1" x14ac:dyDescent="0.25">
      <c r="A668" s="4" t="s">
        <v>71</v>
      </c>
      <c r="B668" s="4" t="s">
        <v>25</v>
      </c>
    </row>
    <row r="669" spans="1:2" s="114" customFormat="1" x14ac:dyDescent="0.25">
      <c r="A669" s="4" t="s">
        <v>71</v>
      </c>
      <c r="B669" s="4" t="s">
        <v>25</v>
      </c>
    </row>
    <row r="670" spans="1:2" s="114" customFormat="1" x14ac:dyDescent="0.25">
      <c r="A670" s="4" t="s">
        <v>72</v>
      </c>
      <c r="B670" s="4" t="s">
        <v>25</v>
      </c>
    </row>
    <row r="671" spans="1:2" s="114" customFormat="1" x14ac:dyDescent="0.25">
      <c r="A671" s="4" t="s">
        <v>72</v>
      </c>
      <c r="B671" s="4" t="s">
        <v>25</v>
      </c>
    </row>
    <row r="672" spans="1:2" s="114" customFormat="1" x14ac:dyDescent="0.25">
      <c r="A672" s="4" t="s">
        <v>72</v>
      </c>
      <c r="B672" s="4" t="s">
        <v>25</v>
      </c>
    </row>
    <row r="673" spans="1:2" s="114" customFormat="1" x14ac:dyDescent="0.25">
      <c r="A673" s="4" t="s">
        <v>72</v>
      </c>
      <c r="B673" s="4" t="s">
        <v>25</v>
      </c>
    </row>
    <row r="674" spans="1:2" s="114" customFormat="1" x14ac:dyDescent="0.25">
      <c r="A674" s="4" t="s">
        <v>72</v>
      </c>
      <c r="B674" s="4" t="s">
        <v>25</v>
      </c>
    </row>
    <row r="675" spans="1:2" s="114" customFormat="1" x14ac:dyDescent="0.25">
      <c r="A675" s="4" t="s">
        <v>72</v>
      </c>
      <c r="B675" s="4" t="s">
        <v>25</v>
      </c>
    </row>
    <row r="676" spans="1:2" s="114" customFormat="1" x14ac:dyDescent="0.25">
      <c r="A676" s="4" t="s">
        <v>72</v>
      </c>
      <c r="B676" s="4" t="s">
        <v>25</v>
      </c>
    </row>
    <row r="677" spans="1:2" s="114" customFormat="1" x14ac:dyDescent="0.25">
      <c r="A677" s="4" t="s">
        <v>72</v>
      </c>
      <c r="B677" s="4" t="s">
        <v>25</v>
      </c>
    </row>
    <row r="678" spans="1:2" s="114" customFormat="1" x14ac:dyDescent="0.25">
      <c r="A678" s="4" t="s">
        <v>72</v>
      </c>
      <c r="B678" s="4" t="s">
        <v>25</v>
      </c>
    </row>
    <row r="679" spans="1:2" s="114" customFormat="1" x14ac:dyDescent="0.25">
      <c r="A679" s="4" t="s">
        <v>72</v>
      </c>
      <c r="B679" s="4" t="s">
        <v>25</v>
      </c>
    </row>
    <row r="680" spans="1:2" s="114" customFormat="1" x14ac:dyDescent="0.25">
      <c r="A680" s="4" t="s">
        <v>72</v>
      </c>
      <c r="B680" s="4" t="s">
        <v>25</v>
      </c>
    </row>
    <row r="681" spans="1:2" s="114" customFormat="1" x14ac:dyDescent="0.25">
      <c r="A681" s="4" t="s">
        <v>72</v>
      </c>
      <c r="B681" s="4" t="s">
        <v>25</v>
      </c>
    </row>
    <row r="682" spans="1:2" s="114" customFormat="1" x14ac:dyDescent="0.25">
      <c r="A682" s="4" t="s">
        <v>72</v>
      </c>
      <c r="B682" s="4" t="s">
        <v>25</v>
      </c>
    </row>
    <row r="683" spans="1:2" s="114" customFormat="1" x14ac:dyDescent="0.25">
      <c r="A683" s="4" t="s">
        <v>72</v>
      </c>
      <c r="B683" s="4" t="s">
        <v>25</v>
      </c>
    </row>
    <row r="684" spans="1:2" s="114" customFormat="1" x14ac:dyDescent="0.25">
      <c r="A684" s="4" t="s">
        <v>72</v>
      </c>
      <c r="B684" s="4" t="s">
        <v>25</v>
      </c>
    </row>
    <row r="685" spans="1:2" s="114" customFormat="1" x14ac:dyDescent="0.25">
      <c r="A685" s="4" t="s">
        <v>72</v>
      </c>
      <c r="B685" s="4" t="s">
        <v>25</v>
      </c>
    </row>
    <row r="686" spans="1:2" s="114" customFormat="1" x14ac:dyDescent="0.25">
      <c r="A686" s="4" t="s">
        <v>72</v>
      </c>
      <c r="B686" s="4" t="s">
        <v>25</v>
      </c>
    </row>
    <row r="687" spans="1:2" s="114" customFormat="1" x14ac:dyDescent="0.25">
      <c r="A687" s="4" t="s">
        <v>72</v>
      </c>
      <c r="B687" s="4" t="s">
        <v>25</v>
      </c>
    </row>
    <row r="688" spans="1:2" s="114" customFormat="1" x14ac:dyDescent="0.25">
      <c r="A688" s="4" t="s">
        <v>72</v>
      </c>
      <c r="B688" s="4" t="s">
        <v>25</v>
      </c>
    </row>
    <row r="689" spans="1:2" s="114" customFormat="1" x14ac:dyDescent="0.25">
      <c r="A689" s="4" t="s">
        <v>72</v>
      </c>
      <c r="B689" s="4" t="s">
        <v>25</v>
      </c>
    </row>
    <row r="690" spans="1:2" s="114" customFormat="1" x14ac:dyDescent="0.25">
      <c r="A690" s="4" t="s">
        <v>72</v>
      </c>
      <c r="B690" s="4" t="s">
        <v>25</v>
      </c>
    </row>
    <row r="691" spans="1:2" s="114" customFormat="1" x14ac:dyDescent="0.25">
      <c r="A691" s="4" t="s">
        <v>72</v>
      </c>
      <c r="B691" s="4" t="s">
        <v>25</v>
      </c>
    </row>
    <row r="692" spans="1:2" s="114" customFormat="1" x14ac:dyDescent="0.25">
      <c r="A692" s="4" t="s">
        <v>72</v>
      </c>
      <c r="B692" s="4" t="s">
        <v>25</v>
      </c>
    </row>
    <row r="693" spans="1:2" s="114" customFormat="1" x14ac:dyDescent="0.25">
      <c r="A693" s="4" t="s">
        <v>72</v>
      </c>
      <c r="B693" s="4" t="s">
        <v>25</v>
      </c>
    </row>
    <row r="694" spans="1:2" s="114" customFormat="1" x14ac:dyDescent="0.25">
      <c r="A694" s="4" t="s">
        <v>72</v>
      </c>
      <c r="B694" s="4" t="s">
        <v>25</v>
      </c>
    </row>
    <row r="695" spans="1:2" s="114" customFormat="1" x14ac:dyDescent="0.25">
      <c r="A695" s="4" t="s">
        <v>72</v>
      </c>
      <c r="B695" s="4" t="s">
        <v>25</v>
      </c>
    </row>
    <row r="696" spans="1:2" s="114" customFormat="1" x14ac:dyDescent="0.25">
      <c r="A696" s="4" t="s">
        <v>72</v>
      </c>
      <c r="B696" s="4" t="s">
        <v>25</v>
      </c>
    </row>
    <row r="697" spans="1:2" s="114" customFormat="1" x14ac:dyDescent="0.25">
      <c r="A697" s="4" t="s">
        <v>72</v>
      </c>
      <c r="B697" s="4" t="s">
        <v>25</v>
      </c>
    </row>
    <row r="698" spans="1:2" s="114" customFormat="1" x14ac:dyDescent="0.25">
      <c r="A698" s="4" t="s">
        <v>72</v>
      </c>
      <c r="B698" s="4" t="s">
        <v>25</v>
      </c>
    </row>
    <row r="699" spans="1:2" s="114" customFormat="1" x14ac:dyDescent="0.25">
      <c r="A699" s="4" t="s">
        <v>72</v>
      </c>
      <c r="B699" s="4" t="s">
        <v>25</v>
      </c>
    </row>
    <row r="700" spans="1:2" s="114" customFormat="1" x14ac:dyDescent="0.25">
      <c r="A700" s="4" t="s">
        <v>72</v>
      </c>
      <c r="B700" s="4" t="s">
        <v>25</v>
      </c>
    </row>
    <row r="701" spans="1:2" s="114" customFormat="1" x14ac:dyDescent="0.25">
      <c r="A701" s="4" t="s">
        <v>72</v>
      </c>
      <c r="B701" s="4" t="s">
        <v>25</v>
      </c>
    </row>
    <row r="702" spans="1:2" s="114" customFormat="1" x14ac:dyDescent="0.25">
      <c r="A702" s="4" t="s">
        <v>72</v>
      </c>
      <c r="B702" s="4" t="s">
        <v>25</v>
      </c>
    </row>
    <row r="703" spans="1:2" s="114" customFormat="1" x14ac:dyDescent="0.25">
      <c r="A703" s="4" t="s">
        <v>72</v>
      </c>
      <c r="B703" s="4" t="s">
        <v>25</v>
      </c>
    </row>
    <row r="704" spans="1:2" s="114" customFormat="1" x14ac:dyDescent="0.25">
      <c r="A704" s="4" t="s">
        <v>72</v>
      </c>
      <c r="B704" s="4" t="s">
        <v>25</v>
      </c>
    </row>
    <row r="705" spans="1:2" s="114" customFormat="1" x14ac:dyDescent="0.25">
      <c r="A705" s="4" t="s">
        <v>72</v>
      </c>
      <c r="B705" s="4" t="s">
        <v>25</v>
      </c>
    </row>
    <row r="706" spans="1:2" s="114" customFormat="1" x14ac:dyDescent="0.25">
      <c r="A706" s="4" t="s">
        <v>72</v>
      </c>
      <c r="B706" s="4" t="s">
        <v>25</v>
      </c>
    </row>
    <row r="707" spans="1:2" s="114" customFormat="1" x14ac:dyDescent="0.25">
      <c r="A707" s="4" t="s">
        <v>72</v>
      </c>
      <c r="B707" s="4" t="s">
        <v>25</v>
      </c>
    </row>
    <row r="708" spans="1:2" s="114" customFormat="1" x14ac:dyDescent="0.25">
      <c r="A708" s="4" t="s">
        <v>72</v>
      </c>
      <c r="B708" s="4" t="s">
        <v>25</v>
      </c>
    </row>
    <row r="709" spans="1:2" s="114" customFormat="1" x14ac:dyDescent="0.25">
      <c r="A709" s="4" t="s">
        <v>72</v>
      </c>
      <c r="B709" s="4" t="s">
        <v>25</v>
      </c>
    </row>
    <row r="710" spans="1:2" s="114" customFormat="1" x14ac:dyDescent="0.25">
      <c r="A710" s="4" t="s">
        <v>72</v>
      </c>
      <c r="B710" s="4" t="s">
        <v>25</v>
      </c>
    </row>
    <row r="711" spans="1:2" s="114" customFormat="1" x14ac:dyDescent="0.25">
      <c r="A711" s="4" t="s">
        <v>72</v>
      </c>
      <c r="B711" s="4" t="s">
        <v>25</v>
      </c>
    </row>
    <row r="712" spans="1:2" s="114" customFormat="1" x14ac:dyDescent="0.25">
      <c r="A712" s="4" t="s">
        <v>72</v>
      </c>
      <c r="B712" s="4" t="s">
        <v>25</v>
      </c>
    </row>
    <row r="713" spans="1:2" s="114" customFormat="1" x14ac:dyDescent="0.25">
      <c r="A713" s="4" t="s">
        <v>72</v>
      </c>
      <c r="B713" s="4" t="s">
        <v>25</v>
      </c>
    </row>
    <row r="714" spans="1:2" s="114" customFormat="1" x14ac:dyDescent="0.25">
      <c r="A714" s="4" t="s">
        <v>62</v>
      </c>
      <c r="B714" s="4" t="s">
        <v>25</v>
      </c>
    </row>
    <row r="715" spans="1:2" s="114" customFormat="1" x14ac:dyDescent="0.25">
      <c r="A715" s="4" t="s">
        <v>62</v>
      </c>
      <c r="B715" s="4" t="s">
        <v>25</v>
      </c>
    </row>
    <row r="716" spans="1:2" s="114" customFormat="1" x14ac:dyDescent="0.25">
      <c r="A716" s="4" t="s">
        <v>62</v>
      </c>
      <c r="B716" s="4" t="s">
        <v>25</v>
      </c>
    </row>
    <row r="717" spans="1:2" s="114" customFormat="1" x14ac:dyDescent="0.25">
      <c r="A717" s="4" t="s">
        <v>62</v>
      </c>
      <c r="B717" s="4" t="s">
        <v>25</v>
      </c>
    </row>
    <row r="718" spans="1:2" s="114" customFormat="1" x14ac:dyDescent="0.25">
      <c r="A718" s="4" t="s">
        <v>62</v>
      </c>
      <c r="B718" s="4" t="s">
        <v>25</v>
      </c>
    </row>
    <row r="719" spans="1:2" s="114" customFormat="1" x14ac:dyDescent="0.25">
      <c r="A719" s="4" t="s">
        <v>62</v>
      </c>
      <c r="B719" s="4" t="s">
        <v>25</v>
      </c>
    </row>
    <row r="720" spans="1:2" s="114" customFormat="1" x14ac:dyDescent="0.25">
      <c r="A720" s="4" t="s">
        <v>62</v>
      </c>
      <c r="B720" s="4" t="s">
        <v>25</v>
      </c>
    </row>
    <row r="721" spans="1:2" s="114" customFormat="1" x14ac:dyDescent="0.25">
      <c r="A721" s="4" t="s">
        <v>62</v>
      </c>
      <c r="B721" s="4" t="s">
        <v>25</v>
      </c>
    </row>
    <row r="722" spans="1:2" s="114" customFormat="1" x14ac:dyDescent="0.25">
      <c r="A722" s="4" t="s">
        <v>62</v>
      </c>
      <c r="B722" s="4" t="s">
        <v>25</v>
      </c>
    </row>
    <row r="723" spans="1:2" s="114" customFormat="1" x14ac:dyDescent="0.25">
      <c r="A723" s="4" t="s">
        <v>65</v>
      </c>
      <c r="B723" s="4" t="s">
        <v>25</v>
      </c>
    </row>
    <row r="724" spans="1:2" s="114" customFormat="1" x14ac:dyDescent="0.25">
      <c r="A724" s="4" t="s">
        <v>65</v>
      </c>
      <c r="B724" s="4" t="s">
        <v>25</v>
      </c>
    </row>
    <row r="725" spans="1:2" s="114" customFormat="1" x14ac:dyDescent="0.25">
      <c r="A725" s="4" t="s">
        <v>65</v>
      </c>
      <c r="B725" s="4" t="s">
        <v>25</v>
      </c>
    </row>
    <row r="726" spans="1:2" s="114" customFormat="1" x14ac:dyDescent="0.25">
      <c r="A726" s="4" t="s">
        <v>65</v>
      </c>
      <c r="B726" s="4" t="s">
        <v>25</v>
      </c>
    </row>
    <row r="727" spans="1:2" s="114" customFormat="1" x14ac:dyDescent="0.25">
      <c r="A727" s="4" t="s">
        <v>65</v>
      </c>
      <c r="B727" s="4" t="s">
        <v>25</v>
      </c>
    </row>
    <row r="728" spans="1:2" s="114" customFormat="1" x14ac:dyDescent="0.25">
      <c r="A728" s="4" t="s">
        <v>65</v>
      </c>
      <c r="B728" s="4" t="s">
        <v>25</v>
      </c>
    </row>
    <row r="729" spans="1:2" s="114" customFormat="1" x14ac:dyDescent="0.25">
      <c r="A729" s="4" t="s">
        <v>65</v>
      </c>
      <c r="B729" s="4" t="s">
        <v>25</v>
      </c>
    </row>
    <row r="730" spans="1:2" s="114" customFormat="1" x14ac:dyDescent="0.25">
      <c r="A730" s="4" t="s">
        <v>75</v>
      </c>
      <c r="B730" s="4" t="s">
        <v>25</v>
      </c>
    </row>
    <row r="731" spans="1:2" s="114" customFormat="1" x14ac:dyDescent="0.25">
      <c r="A731" s="4" t="s">
        <v>75</v>
      </c>
      <c r="B731" s="4" t="s">
        <v>25</v>
      </c>
    </row>
    <row r="732" spans="1:2" s="114" customFormat="1" x14ac:dyDescent="0.25">
      <c r="A732" s="4" t="s">
        <v>75</v>
      </c>
      <c r="B732" s="4" t="s">
        <v>25</v>
      </c>
    </row>
    <row r="733" spans="1:2" s="114" customFormat="1" x14ac:dyDescent="0.25">
      <c r="A733" s="4" t="s">
        <v>75</v>
      </c>
      <c r="B733" s="4" t="s">
        <v>25</v>
      </c>
    </row>
    <row r="734" spans="1:2" s="114" customFormat="1" x14ac:dyDescent="0.25">
      <c r="A734" s="4" t="s">
        <v>75</v>
      </c>
      <c r="B734" s="4" t="s">
        <v>25</v>
      </c>
    </row>
    <row r="735" spans="1:2" s="114" customFormat="1" x14ac:dyDescent="0.25">
      <c r="A735" s="4" t="s">
        <v>75</v>
      </c>
      <c r="B735" s="4" t="s">
        <v>25</v>
      </c>
    </row>
    <row r="736" spans="1:2" s="114" customFormat="1" x14ac:dyDescent="0.25">
      <c r="A736" s="4" t="s">
        <v>75</v>
      </c>
      <c r="B736" s="4" t="s">
        <v>25</v>
      </c>
    </row>
    <row r="737" spans="1:2" s="114" customFormat="1" x14ac:dyDescent="0.25">
      <c r="A737" s="4" t="s">
        <v>69</v>
      </c>
      <c r="B737" s="4" t="s">
        <v>25</v>
      </c>
    </row>
    <row r="738" spans="1:2" s="114" customFormat="1" x14ac:dyDescent="0.25">
      <c r="A738" s="4" t="s">
        <v>69</v>
      </c>
      <c r="B738" s="4" t="s">
        <v>25</v>
      </c>
    </row>
    <row r="739" spans="1:2" s="114" customFormat="1" x14ac:dyDescent="0.25">
      <c r="A739" s="4" t="s">
        <v>69</v>
      </c>
      <c r="B739" s="4" t="s">
        <v>25</v>
      </c>
    </row>
    <row r="740" spans="1:2" s="114" customFormat="1" x14ac:dyDescent="0.25">
      <c r="A740" s="4" t="s">
        <v>69</v>
      </c>
      <c r="B740" s="4" t="s">
        <v>25</v>
      </c>
    </row>
    <row r="741" spans="1:2" s="114" customFormat="1" x14ac:dyDescent="0.25">
      <c r="A741" s="4" t="s">
        <v>69</v>
      </c>
      <c r="B741" s="4" t="s">
        <v>25</v>
      </c>
    </row>
    <row r="742" spans="1:2" s="114" customFormat="1" x14ac:dyDescent="0.25">
      <c r="A742" s="4" t="s">
        <v>69</v>
      </c>
      <c r="B742" s="4" t="s">
        <v>25</v>
      </c>
    </row>
    <row r="743" spans="1:2" s="114" customFormat="1" x14ac:dyDescent="0.25">
      <c r="A743" s="4" t="s">
        <v>69</v>
      </c>
      <c r="B743" s="4" t="s">
        <v>25</v>
      </c>
    </row>
    <row r="744" spans="1:2" s="114" customFormat="1" x14ac:dyDescent="0.25">
      <c r="A744" s="4" t="s">
        <v>69</v>
      </c>
      <c r="B744" s="4" t="s">
        <v>25</v>
      </c>
    </row>
    <row r="745" spans="1:2" s="114" customFormat="1" x14ac:dyDescent="0.25">
      <c r="A745" s="4" t="s">
        <v>69</v>
      </c>
      <c r="B745" s="4" t="s">
        <v>25</v>
      </c>
    </row>
    <row r="746" spans="1:2" s="114" customFormat="1" x14ac:dyDescent="0.25">
      <c r="A746" s="4" t="s">
        <v>69</v>
      </c>
      <c r="B746" s="4" t="s">
        <v>25</v>
      </c>
    </row>
    <row r="747" spans="1:2" s="114" customFormat="1" x14ac:dyDescent="0.25">
      <c r="A747" s="4" t="s">
        <v>69</v>
      </c>
      <c r="B747" s="4" t="s">
        <v>25</v>
      </c>
    </row>
    <row r="748" spans="1:2" s="114" customFormat="1" x14ac:dyDescent="0.25">
      <c r="A748" s="4" t="s">
        <v>69</v>
      </c>
      <c r="B748" s="4" t="s">
        <v>25</v>
      </c>
    </row>
    <row r="749" spans="1:2" s="114" customFormat="1" x14ac:dyDescent="0.25">
      <c r="A749" s="4" t="s">
        <v>69</v>
      </c>
      <c r="B749" s="4" t="s">
        <v>25</v>
      </c>
    </row>
    <row r="750" spans="1:2" s="114" customFormat="1" x14ac:dyDescent="0.25">
      <c r="A750" s="4" t="s">
        <v>69</v>
      </c>
      <c r="B750" s="4" t="s">
        <v>25</v>
      </c>
    </row>
    <row r="751" spans="1:2" s="114" customFormat="1" x14ac:dyDescent="0.25">
      <c r="A751" s="4" t="s">
        <v>61</v>
      </c>
      <c r="B751" s="4" t="s">
        <v>25</v>
      </c>
    </row>
    <row r="752" spans="1:2" s="114" customFormat="1" x14ac:dyDescent="0.25">
      <c r="A752" s="4" t="s">
        <v>64</v>
      </c>
      <c r="B752" s="4" t="s">
        <v>25</v>
      </c>
    </row>
    <row r="753" spans="1:2" s="114" customFormat="1" x14ac:dyDescent="0.25">
      <c r="A753" s="4" t="s">
        <v>64</v>
      </c>
      <c r="B753" s="4" t="s">
        <v>25</v>
      </c>
    </row>
    <row r="754" spans="1:2" s="114" customFormat="1" x14ac:dyDescent="0.25">
      <c r="A754" s="4" t="s">
        <v>66</v>
      </c>
      <c r="B754" s="4" t="s">
        <v>25</v>
      </c>
    </row>
    <row r="755" spans="1:2" s="114" customFormat="1" x14ac:dyDescent="0.25">
      <c r="A755" s="4" t="s">
        <v>68</v>
      </c>
      <c r="B755" s="4" t="s">
        <v>25</v>
      </c>
    </row>
    <row r="756" spans="1:2" s="114" customFormat="1" x14ac:dyDescent="0.25">
      <c r="A756" s="4" t="s">
        <v>68</v>
      </c>
      <c r="B756" s="4" t="s">
        <v>25</v>
      </c>
    </row>
    <row r="757" spans="1:2" s="114" customFormat="1" x14ac:dyDescent="0.25">
      <c r="A757" s="4" t="s">
        <v>68</v>
      </c>
      <c r="B757" s="4" t="s">
        <v>25</v>
      </c>
    </row>
    <row r="758" spans="1:2" s="114" customFormat="1" x14ac:dyDescent="0.25">
      <c r="A758" s="4" t="s">
        <v>68</v>
      </c>
      <c r="B758" s="4" t="s">
        <v>25</v>
      </c>
    </row>
    <row r="759" spans="1:2" s="114" customFormat="1" x14ac:dyDescent="0.25">
      <c r="A759" s="4" t="s">
        <v>68</v>
      </c>
      <c r="B759" s="4" t="s">
        <v>25</v>
      </c>
    </row>
    <row r="760" spans="1:2" s="114" customFormat="1" x14ac:dyDescent="0.25">
      <c r="A760" s="4" t="s">
        <v>68</v>
      </c>
      <c r="B760" s="4" t="s">
        <v>25</v>
      </c>
    </row>
    <row r="761" spans="1:2" s="114" customFormat="1" x14ac:dyDescent="0.25">
      <c r="A761" s="4" t="s">
        <v>68</v>
      </c>
      <c r="B761" s="4" t="s">
        <v>25</v>
      </c>
    </row>
    <row r="762" spans="1:2" s="114" customFormat="1" x14ac:dyDescent="0.25">
      <c r="A762" s="4" t="s">
        <v>68</v>
      </c>
      <c r="B762" s="4" t="s">
        <v>25</v>
      </c>
    </row>
    <row r="763" spans="1:2" s="114" customFormat="1" x14ac:dyDescent="0.25">
      <c r="A763" s="4" t="s">
        <v>68</v>
      </c>
      <c r="B763" s="4" t="s">
        <v>25</v>
      </c>
    </row>
    <row r="764" spans="1:2" s="114" customFormat="1" x14ac:dyDescent="0.25">
      <c r="A764" s="4" t="s">
        <v>68</v>
      </c>
      <c r="B764" s="4" t="s">
        <v>25</v>
      </c>
    </row>
    <row r="765" spans="1:2" s="114" customFormat="1" x14ac:dyDescent="0.25">
      <c r="A765" s="4" t="s">
        <v>68</v>
      </c>
      <c r="B765" s="4" t="s">
        <v>25</v>
      </c>
    </row>
    <row r="766" spans="1:2" s="114" customFormat="1" x14ac:dyDescent="0.25">
      <c r="A766" s="4" t="s">
        <v>68</v>
      </c>
      <c r="B766" s="4" t="s">
        <v>25</v>
      </c>
    </row>
    <row r="767" spans="1:2" s="114" customFormat="1" x14ac:dyDescent="0.25">
      <c r="A767" s="4" t="s">
        <v>68</v>
      </c>
      <c r="B767" s="4" t="s">
        <v>25</v>
      </c>
    </row>
    <row r="768" spans="1:2" s="114" customFormat="1" x14ac:dyDescent="0.25">
      <c r="A768" s="4" t="s">
        <v>68</v>
      </c>
      <c r="B768" s="4" t="s">
        <v>25</v>
      </c>
    </row>
    <row r="769" spans="1:2" s="114" customFormat="1" x14ac:dyDescent="0.25">
      <c r="A769" s="4" t="s">
        <v>68</v>
      </c>
      <c r="B769" s="4" t="s">
        <v>25</v>
      </c>
    </row>
    <row r="770" spans="1:2" s="114" customFormat="1" x14ac:dyDescent="0.25">
      <c r="A770" s="4" t="s">
        <v>68</v>
      </c>
      <c r="B770" s="4" t="s">
        <v>25</v>
      </c>
    </row>
    <row r="771" spans="1:2" s="114" customFormat="1" x14ac:dyDescent="0.25">
      <c r="A771" s="4" t="s">
        <v>68</v>
      </c>
      <c r="B771" s="4" t="s">
        <v>25</v>
      </c>
    </row>
    <row r="772" spans="1:2" s="114" customFormat="1" x14ac:dyDescent="0.25">
      <c r="A772" s="4" t="s">
        <v>68</v>
      </c>
      <c r="B772" s="4" t="s">
        <v>25</v>
      </c>
    </row>
    <row r="773" spans="1:2" s="114" customFormat="1" x14ac:dyDescent="0.25">
      <c r="A773" s="4" t="s">
        <v>68</v>
      </c>
      <c r="B773" s="4" t="s">
        <v>25</v>
      </c>
    </row>
    <row r="774" spans="1:2" s="114" customFormat="1" x14ac:dyDescent="0.25">
      <c r="A774" s="4" t="s">
        <v>68</v>
      </c>
      <c r="B774" s="4" t="s">
        <v>25</v>
      </c>
    </row>
    <row r="775" spans="1:2" s="114" customFormat="1" x14ac:dyDescent="0.25">
      <c r="A775" s="4" t="s">
        <v>68</v>
      </c>
      <c r="B775" s="4" t="s">
        <v>25</v>
      </c>
    </row>
    <row r="776" spans="1:2" s="114" customFormat="1" x14ac:dyDescent="0.25">
      <c r="A776" s="4" t="s">
        <v>68</v>
      </c>
      <c r="B776" s="4" t="s">
        <v>25</v>
      </c>
    </row>
    <row r="777" spans="1:2" s="114" customFormat="1" x14ac:dyDescent="0.25">
      <c r="A777" s="4" t="s">
        <v>68</v>
      </c>
      <c r="B777" s="4" t="s">
        <v>25</v>
      </c>
    </row>
    <row r="778" spans="1:2" s="114" customFormat="1" x14ac:dyDescent="0.25">
      <c r="A778" s="4" t="s">
        <v>68</v>
      </c>
      <c r="B778" s="4" t="s">
        <v>25</v>
      </c>
    </row>
    <row r="779" spans="1:2" s="114" customFormat="1" x14ac:dyDescent="0.25">
      <c r="A779" s="4" t="s">
        <v>68</v>
      </c>
      <c r="B779" s="4" t="s">
        <v>25</v>
      </c>
    </row>
    <row r="780" spans="1:2" s="114" customFormat="1" x14ac:dyDescent="0.25">
      <c r="A780" s="4" t="s">
        <v>68</v>
      </c>
      <c r="B780" s="4" t="s">
        <v>25</v>
      </c>
    </row>
    <row r="781" spans="1:2" s="114" customFormat="1" x14ac:dyDescent="0.25">
      <c r="A781" s="4" t="s">
        <v>68</v>
      </c>
      <c r="B781" s="4" t="s">
        <v>25</v>
      </c>
    </row>
    <row r="782" spans="1:2" s="114" customFormat="1" x14ac:dyDescent="0.25">
      <c r="A782" s="4" t="s">
        <v>68</v>
      </c>
      <c r="B782" s="4" t="s">
        <v>25</v>
      </c>
    </row>
    <row r="783" spans="1:2" s="114" customFormat="1" x14ac:dyDescent="0.25">
      <c r="A783" s="4" t="s">
        <v>68</v>
      </c>
      <c r="B783" s="4" t="s">
        <v>25</v>
      </c>
    </row>
    <row r="784" spans="1:2" s="114" customFormat="1" x14ac:dyDescent="0.25">
      <c r="A784" s="4" t="s">
        <v>68</v>
      </c>
      <c r="B784" s="4" t="s">
        <v>25</v>
      </c>
    </row>
    <row r="785" spans="1:2" s="114" customFormat="1" x14ac:dyDescent="0.25">
      <c r="A785" s="4" t="s">
        <v>68</v>
      </c>
      <c r="B785" s="4" t="s">
        <v>25</v>
      </c>
    </row>
    <row r="786" spans="1:2" s="114" customFormat="1" x14ac:dyDescent="0.25">
      <c r="A786" s="4" t="s">
        <v>68</v>
      </c>
      <c r="B786" s="4" t="s">
        <v>25</v>
      </c>
    </row>
    <row r="787" spans="1:2" s="114" customFormat="1" x14ac:dyDescent="0.25">
      <c r="A787" s="4" t="s">
        <v>68</v>
      </c>
      <c r="B787" s="4" t="s">
        <v>25</v>
      </c>
    </row>
    <row r="788" spans="1:2" s="114" customFormat="1" x14ac:dyDescent="0.25">
      <c r="A788" s="4" t="s">
        <v>68</v>
      </c>
      <c r="B788" s="4" t="s">
        <v>25</v>
      </c>
    </row>
    <row r="789" spans="1:2" s="114" customFormat="1" x14ac:dyDescent="0.25">
      <c r="A789" s="4" t="s">
        <v>68</v>
      </c>
      <c r="B789" s="4" t="s">
        <v>25</v>
      </c>
    </row>
    <row r="790" spans="1:2" s="114" customFormat="1" x14ac:dyDescent="0.25">
      <c r="A790" s="4" t="s">
        <v>68</v>
      </c>
      <c r="B790" s="4" t="s">
        <v>25</v>
      </c>
    </row>
    <row r="791" spans="1:2" s="114" customFormat="1" x14ac:dyDescent="0.25">
      <c r="A791" s="4" t="s">
        <v>68</v>
      </c>
      <c r="B791" s="4" t="s">
        <v>25</v>
      </c>
    </row>
    <row r="792" spans="1:2" s="114" customFormat="1" x14ac:dyDescent="0.25">
      <c r="A792" s="4" t="s">
        <v>68</v>
      </c>
      <c r="B792" s="4" t="s">
        <v>25</v>
      </c>
    </row>
    <row r="793" spans="1:2" s="114" customFormat="1" x14ac:dyDescent="0.25">
      <c r="A793" s="4" t="s">
        <v>68</v>
      </c>
      <c r="B793" s="4" t="s">
        <v>25</v>
      </c>
    </row>
    <row r="794" spans="1:2" s="114" customFormat="1" x14ac:dyDescent="0.25">
      <c r="A794" s="4" t="s">
        <v>68</v>
      </c>
      <c r="B794" s="4" t="s">
        <v>25</v>
      </c>
    </row>
    <row r="795" spans="1:2" s="114" customFormat="1" x14ac:dyDescent="0.25">
      <c r="A795" s="4" t="s">
        <v>68</v>
      </c>
      <c r="B795" s="4" t="s">
        <v>25</v>
      </c>
    </row>
    <row r="796" spans="1:2" s="114" customFormat="1" x14ac:dyDescent="0.25">
      <c r="A796" s="4" t="s">
        <v>68</v>
      </c>
      <c r="B796" s="4" t="s">
        <v>25</v>
      </c>
    </row>
    <row r="797" spans="1:2" s="114" customFormat="1" x14ac:dyDescent="0.25">
      <c r="A797" s="4" t="s">
        <v>68</v>
      </c>
      <c r="B797" s="4" t="s">
        <v>25</v>
      </c>
    </row>
    <row r="798" spans="1:2" s="114" customFormat="1" x14ac:dyDescent="0.25">
      <c r="A798" s="4" t="s">
        <v>68</v>
      </c>
      <c r="B798" s="4" t="s">
        <v>25</v>
      </c>
    </row>
    <row r="799" spans="1:2" s="114" customFormat="1" x14ac:dyDescent="0.25">
      <c r="A799" s="4" t="s">
        <v>68</v>
      </c>
      <c r="B799" s="4" t="s">
        <v>25</v>
      </c>
    </row>
    <row r="800" spans="1:2" s="114" customFormat="1" x14ac:dyDescent="0.25">
      <c r="A800" s="4" t="s">
        <v>68</v>
      </c>
      <c r="B800" s="4" t="s">
        <v>25</v>
      </c>
    </row>
    <row r="801" spans="1:2" s="114" customFormat="1" x14ac:dyDescent="0.25">
      <c r="A801" s="4" t="s">
        <v>73</v>
      </c>
      <c r="B801" s="4" t="s">
        <v>25</v>
      </c>
    </row>
    <row r="802" spans="1:2" s="114" customFormat="1" x14ac:dyDescent="0.25">
      <c r="A802" s="4" t="s">
        <v>73</v>
      </c>
      <c r="B802" s="4" t="s">
        <v>25</v>
      </c>
    </row>
    <row r="803" spans="1:2" s="114" customFormat="1" x14ac:dyDescent="0.25">
      <c r="A803" s="4" t="s">
        <v>73</v>
      </c>
      <c r="B803" s="4" t="s">
        <v>25</v>
      </c>
    </row>
    <row r="804" spans="1:2" s="114" customFormat="1" x14ac:dyDescent="0.25">
      <c r="A804" s="4" t="s">
        <v>581</v>
      </c>
      <c r="B804" s="4" t="s">
        <v>25</v>
      </c>
    </row>
    <row r="805" spans="1:2" s="114" customFormat="1" x14ac:dyDescent="0.25">
      <c r="A805" s="4" t="s">
        <v>59</v>
      </c>
      <c r="B805" s="4" t="s">
        <v>25</v>
      </c>
    </row>
    <row r="806" spans="1:2" s="114" customFormat="1" x14ac:dyDescent="0.25">
      <c r="A806" s="4" t="s">
        <v>72</v>
      </c>
      <c r="B806" s="4" t="s">
        <v>25</v>
      </c>
    </row>
    <row r="807" spans="1:2" s="114" customFormat="1" x14ac:dyDescent="0.25">
      <c r="A807" s="4" t="s">
        <v>62</v>
      </c>
      <c r="B807" s="4" t="s">
        <v>25</v>
      </c>
    </row>
    <row r="808" spans="1:2" s="114" customFormat="1" x14ac:dyDescent="0.25">
      <c r="A808" s="4" t="s">
        <v>62</v>
      </c>
      <c r="B808" s="4" t="s">
        <v>25</v>
      </c>
    </row>
    <row r="809" spans="1:2" s="114" customFormat="1" x14ac:dyDescent="0.25">
      <c r="A809" s="4" t="s">
        <v>68</v>
      </c>
      <c r="B809" s="4" t="s">
        <v>25</v>
      </c>
    </row>
    <row r="810" spans="1:2" s="114" customFormat="1" x14ac:dyDescent="0.25">
      <c r="A810" s="4" t="s">
        <v>68</v>
      </c>
      <c r="B810" s="4" t="s">
        <v>25</v>
      </c>
    </row>
    <row r="811" spans="1:2" s="114" customFormat="1" x14ac:dyDescent="0.25">
      <c r="A811" s="4" t="s">
        <v>68</v>
      </c>
      <c r="B811" s="4" t="s">
        <v>25</v>
      </c>
    </row>
    <row r="812" spans="1:2" s="114" customFormat="1" x14ac:dyDescent="0.25">
      <c r="A812" s="4" t="s">
        <v>67</v>
      </c>
      <c r="B812" s="4" t="s">
        <v>25</v>
      </c>
    </row>
    <row r="813" spans="1:2" s="114" customFormat="1" x14ac:dyDescent="0.25">
      <c r="A813" s="4" t="s">
        <v>67</v>
      </c>
      <c r="B813" s="4" t="s">
        <v>25</v>
      </c>
    </row>
    <row r="814" spans="1:2" s="114" customFormat="1" x14ac:dyDescent="0.25">
      <c r="A814" s="4" t="s">
        <v>67</v>
      </c>
      <c r="B814" s="4" t="s">
        <v>25</v>
      </c>
    </row>
    <row r="815" spans="1:2" s="114" customFormat="1" x14ac:dyDescent="0.25">
      <c r="A815" s="4" t="s">
        <v>67</v>
      </c>
      <c r="B815" s="4" t="s">
        <v>25</v>
      </c>
    </row>
    <row r="816" spans="1:2" s="114" customFormat="1" x14ac:dyDescent="0.25">
      <c r="A816" s="4" t="s">
        <v>67</v>
      </c>
      <c r="B816" s="4" t="s">
        <v>25</v>
      </c>
    </row>
    <row r="817" spans="1:2" s="114" customFormat="1" x14ac:dyDescent="0.25">
      <c r="A817" s="4" t="s">
        <v>67</v>
      </c>
      <c r="B817" s="4" t="s">
        <v>25</v>
      </c>
    </row>
    <row r="818" spans="1:2" s="114" customFormat="1" x14ac:dyDescent="0.25">
      <c r="A818" s="4" t="s">
        <v>67</v>
      </c>
      <c r="B818" s="4" t="s">
        <v>25</v>
      </c>
    </row>
    <row r="819" spans="1:2" s="114" customFormat="1" x14ac:dyDescent="0.25">
      <c r="A819" s="4" t="s">
        <v>67</v>
      </c>
      <c r="B819" s="4" t="s">
        <v>25</v>
      </c>
    </row>
    <row r="820" spans="1:2" s="114" customFormat="1" x14ac:dyDescent="0.25">
      <c r="A820" s="4" t="s">
        <v>67</v>
      </c>
      <c r="B820" s="4" t="s">
        <v>25</v>
      </c>
    </row>
    <row r="821" spans="1:2" s="114" customFormat="1" x14ac:dyDescent="0.25">
      <c r="A821" s="4" t="s">
        <v>67</v>
      </c>
      <c r="B821" s="4" t="s">
        <v>25</v>
      </c>
    </row>
    <row r="822" spans="1:2" s="114" customFormat="1" x14ac:dyDescent="0.25">
      <c r="A822" s="4" t="s">
        <v>67</v>
      </c>
      <c r="B822" s="4" t="s">
        <v>25</v>
      </c>
    </row>
    <row r="823" spans="1:2" s="114" customFormat="1" x14ac:dyDescent="0.25">
      <c r="A823" s="4" t="s">
        <v>71</v>
      </c>
      <c r="B823" s="4" t="s">
        <v>25</v>
      </c>
    </row>
    <row r="824" spans="1:2" s="114" customFormat="1" x14ac:dyDescent="0.25">
      <c r="A824" s="4" t="s">
        <v>71</v>
      </c>
      <c r="B824" s="4" t="s">
        <v>25</v>
      </c>
    </row>
    <row r="825" spans="1:2" s="114" customFormat="1" x14ac:dyDescent="0.25">
      <c r="A825" s="4" t="s">
        <v>71</v>
      </c>
      <c r="B825" s="4" t="s">
        <v>25</v>
      </c>
    </row>
    <row r="826" spans="1:2" s="114" customFormat="1" x14ac:dyDescent="0.25">
      <c r="A826" s="4" t="s">
        <v>72</v>
      </c>
      <c r="B826" s="4" t="s">
        <v>25</v>
      </c>
    </row>
    <row r="827" spans="1:2" s="114" customFormat="1" x14ac:dyDescent="0.25">
      <c r="A827" s="4" t="s">
        <v>72</v>
      </c>
      <c r="B827" s="4" t="s">
        <v>25</v>
      </c>
    </row>
    <row r="828" spans="1:2" s="114" customFormat="1" x14ac:dyDescent="0.25">
      <c r="A828" s="4" t="s">
        <v>72</v>
      </c>
      <c r="B828" s="4" t="s">
        <v>25</v>
      </c>
    </row>
    <row r="829" spans="1:2" s="114" customFormat="1" x14ac:dyDescent="0.25">
      <c r="A829" s="4" t="s">
        <v>72</v>
      </c>
      <c r="B829" s="4" t="s">
        <v>25</v>
      </c>
    </row>
    <row r="830" spans="1:2" s="114" customFormat="1" x14ac:dyDescent="0.25">
      <c r="A830" s="4" t="s">
        <v>72</v>
      </c>
      <c r="B830" s="4" t="s">
        <v>25</v>
      </c>
    </row>
    <row r="831" spans="1:2" s="114" customFormat="1" x14ac:dyDescent="0.25">
      <c r="A831" s="4" t="s">
        <v>72</v>
      </c>
      <c r="B831" s="4" t="s">
        <v>25</v>
      </c>
    </row>
    <row r="832" spans="1:2" s="114" customFormat="1" x14ac:dyDescent="0.25">
      <c r="A832" s="4" t="s">
        <v>72</v>
      </c>
      <c r="B832" s="4" t="s">
        <v>25</v>
      </c>
    </row>
    <row r="833" spans="1:2" s="114" customFormat="1" x14ac:dyDescent="0.25">
      <c r="A833" s="4" t="s">
        <v>72</v>
      </c>
      <c r="B833" s="4" t="s">
        <v>25</v>
      </c>
    </row>
    <row r="834" spans="1:2" s="114" customFormat="1" x14ac:dyDescent="0.25">
      <c r="A834" s="4" t="s">
        <v>72</v>
      </c>
      <c r="B834" s="4" t="s">
        <v>25</v>
      </c>
    </row>
    <row r="835" spans="1:2" s="114" customFormat="1" x14ac:dyDescent="0.25">
      <c r="A835" s="4" t="s">
        <v>72</v>
      </c>
      <c r="B835" s="4" t="s">
        <v>25</v>
      </c>
    </row>
    <row r="836" spans="1:2" s="114" customFormat="1" x14ac:dyDescent="0.25">
      <c r="A836" s="4" t="s">
        <v>72</v>
      </c>
      <c r="B836" s="4" t="s">
        <v>25</v>
      </c>
    </row>
    <row r="837" spans="1:2" s="114" customFormat="1" x14ac:dyDescent="0.25">
      <c r="A837" s="4" t="s">
        <v>72</v>
      </c>
      <c r="B837" s="4" t="s">
        <v>25</v>
      </c>
    </row>
    <row r="838" spans="1:2" s="114" customFormat="1" x14ac:dyDescent="0.25">
      <c r="A838" s="4" t="s">
        <v>72</v>
      </c>
      <c r="B838" s="4" t="s">
        <v>25</v>
      </c>
    </row>
    <row r="839" spans="1:2" s="114" customFormat="1" x14ac:dyDescent="0.25">
      <c r="A839" s="4" t="s">
        <v>72</v>
      </c>
      <c r="B839" s="4" t="s">
        <v>25</v>
      </c>
    </row>
    <row r="840" spans="1:2" s="114" customFormat="1" x14ac:dyDescent="0.25">
      <c r="A840" s="4" t="s">
        <v>72</v>
      </c>
      <c r="B840" s="4" t="s">
        <v>25</v>
      </c>
    </row>
    <row r="841" spans="1:2" s="114" customFormat="1" x14ac:dyDescent="0.25">
      <c r="A841" s="4" t="s">
        <v>72</v>
      </c>
      <c r="B841" s="4" t="s">
        <v>25</v>
      </c>
    </row>
    <row r="842" spans="1:2" s="114" customFormat="1" x14ac:dyDescent="0.25">
      <c r="A842" s="4" t="s">
        <v>72</v>
      </c>
      <c r="B842" s="4" t="s">
        <v>25</v>
      </c>
    </row>
    <row r="843" spans="1:2" s="114" customFormat="1" x14ac:dyDescent="0.25">
      <c r="A843" s="4" t="s">
        <v>62</v>
      </c>
      <c r="B843" s="4" t="s">
        <v>25</v>
      </c>
    </row>
    <row r="844" spans="1:2" s="114" customFormat="1" x14ac:dyDescent="0.25">
      <c r="A844" s="4" t="s">
        <v>62</v>
      </c>
      <c r="B844" s="4" t="s">
        <v>25</v>
      </c>
    </row>
    <row r="845" spans="1:2" s="114" customFormat="1" x14ac:dyDescent="0.25">
      <c r="A845" s="4" t="s">
        <v>62</v>
      </c>
      <c r="B845" s="4" t="s">
        <v>25</v>
      </c>
    </row>
    <row r="846" spans="1:2" s="114" customFormat="1" x14ac:dyDescent="0.25">
      <c r="A846" s="4" t="s">
        <v>62</v>
      </c>
      <c r="B846" s="4" t="s">
        <v>25</v>
      </c>
    </row>
    <row r="847" spans="1:2" s="114" customFormat="1" x14ac:dyDescent="0.25">
      <c r="A847" s="4" t="s">
        <v>62</v>
      </c>
      <c r="B847" s="4" t="s">
        <v>25</v>
      </c>
    </row>
    <row r="848" spans="1:2" s="114" customFormat="1" x14ac:dyDescent="0.25">
      <c r="A848" s="4" t="s">
        <v>62</v>
      </c>
      <c r="B848" s="4" t="s">
        <v>25</v>
      </c>
    </row>
    <row r="849" spans="1:2" s="114" customFormat="1" x14ac:dyDescent="0.25">
      <c r="A849" s="4" t="s">
        <v>62</v>
      </c>
      <c r="B849" s="4" t="s">
        <v>25</v>
      </c>
    </row>
    <row r="850" spans="1:2" s="114" customFormat="1" x14ac:dyDescent="0.25">
      <c r="A850" s="4" t="s">
        <v>74</v>
      </c>
      <c r="B850" s="4" t="s">
        <v>25</v>
      </c>
    </row>
    <row r="851" spans="1:2" s="114" customFormat="1" x14ac:dyDescent="0.25">
      <c r="A851" s="4" t="s">
        <v>74</v>
      </c>
      <c r="B851" s="4" t="s">
        <v>25</v>
      </c>
    </row>
    <row r="852" spans="1:2" s="114" customFormat="1" x14ac:dyDescent="0.25">
      <c r="A852" s="4" t="s">
        <v>74</v>
      </c>
      <c r="B852" s="4" t="s">
        <v>25</v>
      </c>
    </row>
    <row r="853" spans="1:2" s="114" customFormat="1" x14ac:dyDescent="0.25">
      <c r="A853" s="4" t="s">
        <v>65</v>
      </c>
      <c r="B853" s="4" t="s">
        <v>25</v>
      </c>
    </row>
    <row r="854" spans="1:2" s="114" customFormat="1" x14ac:dyDescent="0.25">
      <c r="A854" s="4" t="s">
        <v>65</v>
      </c>
      <c r="B854" s="4" t="s">
        <v>25</v>
      </c>
    </row>
    <row r="855" spans="1:2" s="114" customFormat="1" x14ac:dyDescent="0.25">
      <c r="A855" s="4" t="s">
        <v>65</v>
      </c>
      <c r="B855" s="4" t="s">
        <v>25</v>
      </c>
    </row>
    <row r="856" spans="1:2" s="114" customFormat="1" x14ac:dyDescent="0.25">
      <c r="A856" s="4" t="s">
        <v>65</v>
      </c>
      <c r="B856" s="4" t="s">
        <v>25</v>
      </c>
    </row>
    <row r="857" spans="1:2" s="114" customFormat="1" x14ac:dyDescent="0.25">
      <c r="A857" s="4" t="s">
        <v>75</v>
      </c>
      <c r="B857" s="4" t="s">
        <v>25</v>
      </c>
    </row>
    <row r="858" spans="1:2" s="114" customFormat="1" x14ac:dyDescent="0.25">
      <c r="A858" s="4" t="s">
        <v>75</v>
      </c>
      <c r="B858" s="4" t="s">
        <v>25</v>
      </c>
    </row>
    <row r="859" spans="1:2" s="114" customFormat="1" x14ac:dyDescent="0.25">
      <c r="A859" s="4" t="s">
        <v>75</v>
      </c>
      <c r="B859" s="4" t="s">
        <v>25</v>
      </c>
    </row>
    <row r="860" spans="1:2" s="114" customFormat="1" x14ac:dyDescent="0.25">
      <c r="A860" s="4" t="s">
        <v>75</v>
      </c>
      <c r="B860" s="4" t="s">
        <v>25</v>
      </c>
    </row>
    <row r="861" spans="1:2" s="114" customFormat="1" x14ac:dyDescent="0.25">
      <c r="A861" s="4" t="s">
        <v>75</v>
      </c>
      <c r="B861" s="4" t="s">
        <v>25</v>
      </c>
    </row>
    <row r="862" spans="1:2" s="114" customFormat="1" x14ac:dyDescent="0.25">
      <c r="A862" s="4" t="s">
        <v>75</v>
      </c>
      <c r="B862" s="4" t="s">
        <v>25</v>
      </c>
    </row>
    <row r="863" spans="1:2" s="114" customFormat="1" x14ac:dyDescent="0.25">
      <c r="A863" s="4" t="s">
        <v>75</v>
      </c>
      <c r="B863" s="4" t="s">
        <v>25</v>
      </c>
    </row>
    <row r="864" spans="1:2" s="114" customFormat="1" x14ac:dyDescent="0.25">
      <c r="A864" s="4" t="s">
        <v>75</v>
      </c>
      <c r="B864" s="4" t="s">
        <v>25</v>
      </c>
    </row>
    <row r="865" spans="1:2" s="114" customFormat="1" x14ac:dyDescent="0.25">
      <c r="A865" s="4" t="s">
        <v>75</v>
      </c>
      <c r="B865" s="4" t="s">
        <v>25</v>
      </c>
    </row>
    <row r="866" spans="1:2" s="114" customFormat="1" x14ac:dyDescent="0.25">
      <c r="A866" s="4" t="s">
        <v>69</v>
      </c>
      <c r="B866" s="4" t="s">
        <v>25</v>
      </c>
    </row>
    <row r="867" spans="1:2" s="114" customFormat="1" x14ac:dyDescent="0.25">
      <c r="A867" s="4" t="s">
        <v>69</v>
      </c>
      <c r="B867" s="4" t="s">
        <v>25</v>
      </c>
    </row>
    <row r="868" spans="1:2" s="114" customFormat="1" x14ac:dyDescent="0.25">
      <c r="A868" s="4" t="s">
        <v>69</v>
      </c>
      <c r="B868" s="4" t="s">
        <v>25</v>
      </c>
    </row>
    <row r="869" spans="1:2" s="114" customFormat="1" x14ac:dyDescent="0.25">
      <c r="A869" s="4" t="s">
        <v>69</v>
      </c>
      <c r="B869" s="4" t="s">
        <v>25</v>
      </c>
    </row>
    <row r="870" spans="1:2" s="114" customFormat="1" x14ac:dyDescent="0.25">
      <c r="A870" s="4" t="s">
        <v>69</v>
      </c>
      <c r="B870" s="4" t="s">
        <v>25</v>
      </c>
    </row>
    <row r="871" spans="1:2" s="114" customFormat="1" x14ac:dyDescent="0.25">
      <c r="A871" s="4" t="s">
        <v>69</v>
      </c>
      <c r="B871" s="4" t="s">
        <v>25</v>
      </c>
    </row>
    <row r="872" spans="1:2" s="114" customFormat="1" x14ac:dyDescent="0.25">
      <c r="A872" s="4" t="s">
        <v>69</v>
      </c>
      <c r="B872" s="4" t="s">
        <v>25</v>
      </c>
    </row>
    <row r="873" spans="1:2" s="114" customFormat="1" x14ac:dyDescent="0.25">
      <c r="A873" s="4" t="s">
        <v>61</v>
      </c>
      <c r="B873" s="4" t="s">
        <v>25</v>
      </c>
    </row>
    <row r="874" spans="1:2" s="114" customFormat="1" x14ac:dyDescent="0.25">
      <c r="A874" s="4" t="s">
        <v>61</v>
      </c>
      <c r="B874" s="4" t="s">
        <v>25</v>
      </c>
    </row>
    <row r="875" spans="1:2" s="114" customFormat="1" x14ac:dyDescent="0.25">
      <c r="A875" s="4" t="s">
        <v>61</v>
      </c>
      <c r="B875" s="4" t="s">
        <v>25</v>
      </c>
    </row>
    <row r="876" spans="1:2" s="114" customFormat="1" x14ac:dyDescent="0.25">
      <c r="A876" s="4" t="s">
        <v>61</v>
      </c>
      <c r="B876" s="4" t="s">
        <v>25</v>
      </c>
    </row>
    <row r="877" spans="1:2" s="114" customFormat="1" x14ac:dyDescent="0.25">
      <c r="A877" s="4" t="s">
        <v>61</v>
      </c>
      <c r="B877" s="4" t="s">
        <v>25</v>
      </c>
    </row>
    <row r="878" spans="1:2" s="114" customFormat="1" x14ac:dyDescent="0.25">
      <c r="A878" s="4" t="s">
        <v>66</v>
      </c>
      <c r="B878" s="4" t="s">
        <v>25</v>
      </c>
    </row>
    <row r="879" spans="1:2" s="114" customFormat="1" x14ac:dyDescent="0.25">
      <c r="A879" s="4" t="s">
        <v>68</v>
      </c>
      <c r="B879" s="4" t="s">
        <v>25</v>
      </c>
    </row>
    <row r="880" spans="1:2" s="114" customFormat="1" x14ac:dyDescent="0.25">
      <c r="A880" s="4" t="s">
        <v>68</v>
      </c>
      <c r="B880" s="4" t="s">
        <v>25</v>
      </c>
    </row>
    <row r="881" spans="1:2" s="114" customFormat="1" x14ac:dyDescent="0.25">
      <c r="A881" s="4" t="s">
        <v>68</v>
      </c>
      <c r="B881" s="4" t="s">
        <v>25</v>
      </c>
    </row>
    <row r="882" spans="1:2" s="114" customFormat="1" x14ac:dyDescent="0.25">
      <c r="A882" s="4" t="s">
        <v>68</v>
      </c>
      <c r="B882" s="4" t="s">
        <v>25</v>
      </c>
    </row>
    <row r="883" spans="1:2" s="114" customFormat="1" x14ac:dyDescent="0.25">
      <c r="A883" s="4" t="s">
        <v>68</v>
      </c>
      <c r="B883" s="4" t="s">
        <v>25</v>
      </c>
    </row>
    <row r="884" spans="1:2" s="114" customFormat="1" x14ac:dyDescent="0.25">
      <c r="A884" s="4" t="s">
        <v>68</v>
      </c>
      <c r="B884" s="4" t="s">
        <v>25</v>
      </c>
    </row>
    <row r="885" spans="1:2" s="114" customFormat="1" x14ac:dyDescent="0.25">
      <c r="A885" s="4" t="s">
        <v>68</v>
      </c>
      <c r="B885" s="4" t="s">
        <v>25</v>
      </c>
    </row>
    <row r="886" spans="1:2" s="114" customFormat="1" x14ac:dyDescent="0.25">
      <c r="A886" s="4" t="s">
        <v>68</v>
      </c>
      <c r="B886" s="4" t="s">
        <v>25</v>
      </c>
    </row>
    <row r="887" spans="1:2" s="114" customFormat="1" x14ac:dyDescent="0.25">
      <c r="A887" s="4" t="s">
        <v>68</v>
      </c>
      <c r="B887" s="4" t="s">
        <v>25</v>
      </c>
    </row>
    <row r="888" spans="1:2" s="114" customFormat="1" x14ac:dyDescent="0.25">
      <c r="A888" s="4" t="s">
        <v>68</v>
      </c>
      <c r="B888" s="4" t="s">
        <v>25</v>
      </c>
    </row>
    <row r="889" spans="1:2" s="114" customFormat="1" x14ac:dyDescent="0.25">
      <c r="A889" s="4" t="s">
        <v>68</v>
      </c>
      <c r="B889" s="4" t="s">
        <v>25</v>
      </c>
    </row>
    <row r="890" spans="1:2" s="114" customFormat="1" x14ac:dyDescent="0.25">
      <c r="A890" s="4" t="s">
        <v>68</v>
      </c>
      <c r="B890" s="4" t="s">
        <v>25</v>
      </c>
    </row>
    <row r="891" spans="1:2" s="114" customFormat="1" x14ac:dyDescent="0.25">
      <c r="A891" s="4" t="s">
        <v>68</v>
      </c>
      <c r="B891" s="4" t="s">
        <v>25</v>
      </c>
    </row>
    <row r="892" spans="1:2" s="114" customFormat="1" x14ac:dyDescent="0.25">
      <c r="A892" s="4" t="s">
        <v>73</v>
      </c>
      <c r="B892" s="4" t="s">
        <v>25</v>
      </c>
    </row>
    <row r="893" spans="1:2" s="114" customFormat="1" x14ac:dyDescent="0.25">
      <c r="A893" s="4" t="s">
        <v>73</v>
      </c>
      <c r="B893" s="4" t="s">
        <v>25</v>
      </c>
    </row>
    <row r="894" spans="1:2" s="114" customFormat="1" x14ac:dyDescent="0.25">
      <c r="A894" s="4" t="s">
        <v>73</v>
      </c>
      <c r="B894" s="4" t="s">
        <v>25</v>
      </c>
    </row>
    <row r="895" spans="1:2" s="114" customFormat="1" x14ac:dyDescent="0.25">
      <c r="A895" s="4" t="s">
        <v>73</v>
      </c>
      <c r="B895" s="4" t="s">
        <v>25</v>
      </c>
    </row>
    <row r="896" spans="1:2" s="114" customFormat="1" x14ac:dyDescent="0.25">
      <c r="A896" s="4" t="s">
        <v>73</v>
      </c>
      <c r="B896" s="4" t="s">
        <v>25</v>
      </c>
    </row>
    <row r="897" spans="1:2" s="114" customFormat="1" x14ac:dyDescent="0.25">
      <c r="A897" s="4" t="s">
        <v>73</v>
      </c>
      <c r="B897" s="4" t="s">
        <v>25</v>
      </c>
    </row>
    <row r="898" spans="1:2" s="114" customFormat="1" x14ac:dyDescent="0.25">
      <c r="A898" s="4" t="s">
        <v>75</v>
      </c>
      <c r="B898" s="4" t="s">
        <v>25</v>
      </c>
    </row>
    <row r="899" spans="1:2" s="114" customFormat="1" x14ac:dyDescent="0.25">
      <c r="A899" s="4" t="s">
        <v>75</v>
      </c>
      <c r="B899" s="4" t="s">
        <v>25</v>
      </c>
    </row>
    <row r="900" spans="1:2" s="114" customFormat="1" x14ac:dyDescent="0.25">
      <c r="A900" s="4" t="s">
        <v>60</v>
      </c>
      <c r="B900" s="4" t="s">
        <v>25</v>
      </c>
    </row>
    <row r="901" spans="1:2" s="114" customFormat="1" x14ac:dyDescent="0.25">
      <c r="A901" s="4" t="s">
        <v>67</v>
      </c>
      <c r="B901" s="4" t="s">
        <v>25</v>
      </c>
    </row>
    <row r="902" spans="1:2" s="114" customFormat="1" x14ac:dyDescent="0.25">
      <c r="A902" s="4" t="s">
        <v>71</v>
      </c>
      <c r="B902" s="4" t="s">
        <v>25</v>
      </c>
    </row>
    <row r="903" spans="1:2" s="114" customFormat="1" x14ac:dyDescent="0.25">
      <c r="A903" s="4" t="s">
        <v>72</v>
      </c>
      <c r="B903" s="4" t="s">
        <v>25</v>
      </c>
    </row>
    <row r="904" spans="1:2" s="114" customFormat="1" x14ac:dyDescent="0.25">
      <c r="A904" s="4" t="s">
        <v>72</v>
      </c>
      <c r="B904" s="4" t="s">
        <v>25</v>
      </c>
    </row>
    <row r="905" spans="1:2" s="114" customFormat="1" x14ac:dyDescent="0.25">
      <c r="A905" s="4" t="s">
        <v>72</v>
      </c>
      <c r="B905" s="4" t="s">
        <v>25</v>
      </c>
    </row>
    <row r="906" spans="1:2" s="114" customFormat="1" x14ac:dyDescent="0.25">
      <c r="A906" s="4" t="s">
        <v>72</v>
      </c>
      <c r="B906" s="4" t="s">
        <v>25</v>
      </c>
    </row>
    <row r="907" spans="1:2" s="114" customFormat="1" x14ac:dyDescent="0.25">
      <c r="A907" s="4" t="s">
        <v>72</v>
      </c>
      <c r="B907" s="4" t="s">
        <v>25</v>
      </c>
    </row>
    <row r="908" spans="1:2" s="114" customFormat="1" x14ac:dyDescent="0.25">
      <c r="A908" s="4" t="s">
        <v>72</v>
      </c>
      <c r="B908" s="4" t="s">
        <v>25</v>
      </c>
    </row>
    <row r="909" spans="1:2" s="114" customFormat="1" x14ac:dyDescent="0.25">
      <c r="A909" s="4" t="s">
        <v>72</v>
      </c>
      <c r="B909" s="4" t="s">
        <v>25</v>
      </c>
    </row>
    <row r="910" spans="1:2" s="114" customFormat="1" x14ac:dyDescent="0.25">
      <c r="A910" s="4" t="s">
        <v>72</v>
      </c>
      <c r="B910" s="4" t="s">
        <v>25</v>
      </c>
    </row>
    <row r="911" spans="1:2" s="114" customFormat="1" x14ac:dyDescent="0.25">
      <c r="A911" s="4" t="s">
        <v>72</v>
      </c>
      <c r="B911" s="4" t="s">
        <v>25</v>
      </c>
    </row>
    <row r="912" spans="1:2" s="114" customFormat="1" x14ac:dyDescent="0.25">
      <c r="A912" s="4" t="s">
        <v>62</v>
      </c>
      <c r="B912" s="4" t="s">
        <v>25</v>
      </c>
    </row>
    <row r="913" spans="1:2" s="114" customFormat="1" x14ac:dyDescent="0.25">
      <c r="A913" s="4" t="s">
        <v>62</v>
      </c>
      <c r="B913" s="4" t="s">
        <v>25</v>
      </c>
    </row>
    <row r="914" spans="1:2" s="114" customFormat="1" x14ac:dyDescent="0.25">
      <c r="A914" s="4" t="s">
        <v>62</v>
      </c>
      <c r="B914" s="4" t="s">
        <v>25</v>
      </c>
    </row>
    <row r="915" spans="1:2" s="114" customFormat="1" x14ac:dyDescent="0.25">
      <c r="A915" s="4" t="s">
        <v>74</v>
      </c>
      <c r="B915" s="4" t="s">
        <v>25</v>
      </c>
    </row>
    <row r="916" spans="1:2" s="114" customFormat="1" x14ac:dyDescent="0.25">
      <c r="A916" s="4" t="s">
        <v>75</v>
      </c>
      <c r="B916" s="4" t="s">
        <v>25</v>
      </c>
    </row>
    <row r="917" spans="1:2" s="114" customFormat="1" x14ac:dyDescent="0.25">
      <c r="A917" s="4" t="s">
        <v>75</v>
      </c>
      <c r="B917" s="4" t="s">
        <v>25</v>
      </c>
    </row>
    <row r="918" spans="1:2" s="114" customFormat="1" x14ac:dyDescent="0.25">
      <c r="A918" s="4" t="s">
        <v>75</v>
      </c>
      <c r="B918" s="4" t="s">
        <v>25</v>
      </c>
    </row>
    <row r="919" spans="1:2" s="114" customFormat="1" x14ac:dyDescent="0.25">
      <c r="A919" s="4" t="s">
        <v>75</v>
      </c>
      <c r="B919" s="4" t="s">
        <v>25</v>
      </c>
    </row>
    <row r="920" spans="1:2" s="114" customFormat="1" x14ac:dyDescent="0.25">
      <c r="A920" s="4" t="s">
        <v>70</v>
      </c>
      <c r="B920" s="4" t="s">
        <v>25</v>
      </c>
    </row>
    <row r="921" spans="1:2" s="114" customFormat="1" x14ac:dyDescent="0.25">
      <c r="A921" s="4" t="s">
        <v>69</v>
      </c>
      <c r="B921" s="4" t="s">
        <v>25</v>
      </c>
    </row>
    <row r="922" spans="1:2" s="114" customFormat="1" x14ac:dyDescent="0.25">
      <c r="A922" s="4" t="s">
        <v>69</v>
      </c>
      <c r="B922" s="4" t="s">
        <v>25</v>
      </c>
    </row>
    <row r="923" spans="1:2" s="114" customFormat="1" x14ac:dyDescent="0.25">
      <c r="A923" s="4" t="s">
        <v>69</v>
      </c>
      <c r="B923" s="4" t="s">
        <v>25</v>
      </c>
    </row>
    <row r="924" spans="1:2" s="114" customFormat="1" x14ac:dyDescent="0.25">
      <c r="A924" s="4" t="s">
        <v>61</v>
      </c>
      <c r="B924" s="4" t="s">
        <v>25</v>
      </c>
    </row>
    <row r="925" spans="1:2" s="114" customFormat="1" x14ac:dyDescent="0.25">
      <c r="A925" s="4" t="s">
        <v>61</v>
      </c>
      <c r="B925" s="4" t="s">
        <v>25</v>
      </c>
    </row>
    <row r="926" spans="1:2" s="114" customFormat="1" x14ac:dyDescent="0.25">
      <c r="A926" s="4" t="s">
        <v>64</v>
      </c>
      <c r="B926" s="4" t="s">
        <v>25</v>
      </c>
    </row>
    <row r="927" spans="1:2" s="114" customFormat="1" x14ac:dyDescent="0.25">
      <c r="A927" s="4" t="s">
        <v>68</v>
      </c>
      <c r="B927" s="4" t="s">
        <v>25</v>
      </c>
    </row>
    <row r="928" spans="1:2" s="114" customFormat="1" x14ac:dyDescent="0.25">
      <c r="A928" s="4" t="s">
        <v>68</v>
      </c>
      <c r="B928" s="4" t="s">
        <v>25</v>
      </c>
    </row>
    <row r="929" spans="1:2" s="114" customFormat="1" x14ac:dyDescent="0.25">
      <c r="A929" s="4" t="s">
        <v>68</v>
      </c>
      <c r="B929" s="4" t="s">
        <v>25</v>
      </c>
    </row>
    <row r="930" spans="1:2" s="114" customFormat="1" x14ac:dyDescent="0.25">
      <c r="A930" s="4" t="s">
        <v>73</v>
      </c>
      <c r="B930" s="4" t="s">
        <v>25</v>
      </c>
    </row>
    <row r="931" spans="1:2" s="114" customFormat="1" x14ac:dyDescent="0.25">
      <c r="A931" s="4" t="s">
        <v>73</v>
      </c>
      <c r="B931" s="4" t="s">
        <v>25</v>
      </c>
    </row>
    <row r="932" spans="1:2" s="114" customFormat="1" x14ac:dyDescent="0.25">
      <c r="A932" s="4" t="s">
        <v>73</v>
      </c>
      <c r="B932" s="4" t="s">
        <v>25</v>
      </c>
    </row>
    <row r="933" spans="1:2" s="114" customFormat="1" x14ac:dyDescent="0.25">
      <c r="A933" s="4" t="s">
        <v>64</v>
      </c>
      <c r="B933" s="4" t="s">
        <v>25</v>
      </c>
    </row>
    <row r="934" spans="1:2" s="114" customFormat="1" x14ac:dyDescent="0.25">
      <c r="A934" s="4" t="s">
        <v>72</v>
      </c>
      <c r="B934" s="4" t="s">
        <v>26</v>
      </c>
    </row>
    <row r="935" spans="1:2" s="114" customFormat="1" x14ac:dyDescent="0.25">
      <c r="A935" s="4" t="s">
        <v>62</v>
      </c>
      <c r="B935" s="4" t="s">
        <v>26</v>
      </c>
    </row>
    <row r="936" spans="1:2" s="114" customFormat="1" x14ac:dyDescent="0.25">
      <c r="A936" s="4" t="s">
        <v>63</v>
      </c>
      <c r="B936" s="4" t="s">
        <v>26</v>
      </c>
    </row>
    <row r="937" spans="1:2" s="114" customFormat="1" x14ac:dyDescent="0.25">
      <c r="A937" s="4" t="s">
        <v>62</v>
      </c>
      <c r="B937" s="4" t="s">
        <v>27</v>
      </c>
    </row>
    <row r="938" spans="1:2" s="114" customFormat="1" x14ac:dyDescent="0.25">
      <c r="A938" s="4" t="s">
        <v>75</v>
      </c>
      <c r="B938" s="4" t="s">
        <v>27</v>
      </c>
    </row>
    <row r="939" spans="1:2" s="114" customFormat="1" x14ac:dyDescent="0.25">
      <c r="A939" s="4" t="s">
        <v>75</v>
      </c>
      <c r="B939" s="4" t="s">
        <v>27</v>
      </c>
    </row>
    <row r="940" spans="1:2" s="114" customFormat="1" x14ac:dyDescent="0.25">
      <c r="A940" s="4" t="s">
        <v>581</v>
      </c>
      <c r="B940" s="4" t="s">
        <v>27</v>
      </c>
    </row>
    <row r="941" spans="1:2" s="114" customFormat="1" x14ac:dyDescent="0.25">
      <c r="A941" s="4" t="s">
        <v>72</v>
      </c>
      <c r="B941" s="4" t="s">
        <v>27</v>
      </c>
    </row>
    <row r="942" spans="1:2" s="114" customFormat="1" x14ac:dyDescent="0.25">
      <c r="A942" s="4" t="s">
        <v>61</v>
      </c>
      <c r="B942" s="4" t="s">
        <v>27</v>
      </c>
    </row>
    <row r="943" spans="1:2" s="114" customFormat="1" x14ac:dyDescent="0.25">
      <c r="A943" s="4" t="s">
        <v>75</v>
      </c>
      <c r="B943" s="4" t="s">
        <v>27</v>
      </c>
    </row>
    <row r="944" spans="1:2" s="114" customFormat="1" x14ac:dyDescent="0.25">
      <c r="A944" s="4" t="s">
        <v>68</v>
      </c>
      <c r="B944" s="4" t="s">
        <v>28</v>
      </c>
    </row>
    <row r="945" spans="1:2" s="114" customFormat="1" x14ac:dyDescent="0.25">
      <c r="A945" s="4" t="s">
        <v>69</v>
      </c>
      <c r="B945" s="4" t="s">
        <v>28</v>
      </c>
    </row>
    <row r="946" spans="1:2" s="114" customFormat="1" x14ac:dyDescent="0.25">
      <c r="A946" s="4" t="s">
        <v>67</v>
      </c>
      <c r="B946" s="4" t="s">
        <v>29</v>
      </c>
    </row>
    <row r="947" spans="1:2" s="114" customFormat="1" x14ac:dyDescent="0.25">
      <c r="A947" s="4" t="s">
        <v>72</v>
      </c>
      <c r="B947" s="4" t="s">
        <v>29</v>
      </c>
    </row>
    <row r="948" spans="1:2" s="114" customFormat="1" x14ac:dyDescent="0.25">
      <c r="A948" s="4" t="s">
        <v>72</v>
      </c>
      <c r="B948" s="4" t="s">
        <v>29</v>
      </c>
    </row>
    <row r="949" spans="1:2" s="114" customFormat="1" x14ac:dyDescent="0.25">
      <c r="A949" s="4" t="s">
        <v>72</v>
      </c>
      <c r="B949" s="4" t="s">
        <v>29</v>
      </c>
    </row>
    <row r="950" spans="1:2" s="114" customFormat="1" x14ac:dyDescent="0.25">
      <c r="A950" s="4" t="s">
        <v>62</v>
      </c>
      <c r="B950" s="4" t="s">
        <v>29</v>
      </c>
    </row>
    <row r="951" spans="1:2" s="114" customFormat="1" x14ac:dyDescent="0.25">
      <c r="A951" s="4" t="s">
        <v>64</v>
      </c>
      <c r="B951" s="4" t="s">
        <v>29</v>
      </c>
    </row>
    <row r="952" spans="1:2" s="114" customFormat="1" x14ac:dyDescent="0.25">
      <c r="A952" s="4" t="s">
        <v>68</v>
      </c>
      <c r="B952" s="4" t="s">
        <v>29</v>
      </c>
    </row>
    <row r="953" spans="1:2" s="114" customFormat="1" x14ac:dyDescent="0.25">
      <c r="A953" s="4" t="s">
        <v>68</v>
      </c>
      <c r="B953" s="4" t="s">
        <v>29</v>
      </c>
    </row>
    <row r="954" spans="1:2" s="114" customFormat="1" x14ac:dyDescent="0.25">
      <c r="A954" s="4" t="s">
        <v>68</v>
      </c>
      <c r="B954" s="4" t="s">
        <v>29</v>
      </c>
    </row>
    <row r="955" spans="1:2" s="114" customFormat="1" x14ac:dyDescent="0.25">
      <c r="A955" s="4" t="s">
        <v>68</v>
      </c>
      <c r="B955" s="4" t="s">
        <v>29</v>
      </c>
    </row>
    <row r="956" spans="1:2" s="114" customFormat="1" x14ac:dyDescent="0.25">
      <c r="A956" s="4" t="s">
        <v>68</v>
      </c>
      <c r="B956" s="4" t="s">
        <v>29</v>
      </c>
    </row>
    <row r="957" spans="1:2" s="114" customFormat="1" x14ac:dyDescent="0.25">
      <c r="A957" s="4" t="s">
        <v>68</v>
      </c>
      <c r="B957" s="4" t="s">
        <v>29</v>
      </c>
    </row>
    <row r="958" spans="1:2" s="114" customFormat="1" x14ac:dyDescent="0.25">
      <c r="A958" s="4" t="s">
        <v>68</v>
      </c>
      <c r="B958" s="4" t="s">
        <v>29</v>
      </c>
    </row>
    <row r="959" spans="1:2" s="114" customFormat="1" x14ac:dyDescent="0.25">
      <c r="A959" s="4" t="s">
        <v>581</v>
      </c>
      <c r="B959" s="4" t="s">
        <v>29</v>
      </c>
    </row>
    <row r="960" spans="1:2" s="114" customFormat="1" x14ac:dyDescent="0.25">
      <c r="A960" s="4" t="s">
        <v>68</v>
      </c>
      <c r="B960" s="4" t="s">
        <v>29</v>
      </c>
    </row>
    <row r="961" spans="1:2" s="114" customFormat="1" x14ac:dyDescent="0.25">
      <c r="A961" s="4" t="s">
        <v>67</v>
      </c>
      <c r="B961" s="4" t="s">
        <v>29</v>
      </c>
    </row>
    <row r="962" spans="1:2" s="114" customFormat="1" x14ac:dyDescent="0.25">
      <c r="A962" s="4" t="s">
        <v>65</v>
      </c>
      <c r="B962" s="4" t="s">
        <v>29</v>
      </c>
    </row>
    <row r="963" spans="1:2" s="114" customFormat="1" x14ac:dyDescent="0.25">
      <c r="A963" s="4" t="s">
        <v>75</v>
      </c>
      <c r="B963" s="4" t="s">
        <v>29</v>
      </c>
    </row>
    <row r="964" spans="1:2" s="114" customFormat="1" x14ac:dyDescent="0.25">
      <c r="A964" s="4" t="s">
        <v>75</v>
      </c>
      <c r="B964" s="4" t="s">
        <v>29</v>
      </c>
    </row>
    <row r="965" spans="1:2" s="114" customFormat="1" x14ac:dyDescent="0.25">
      <c r="A965" s="4" t="s">
        <v>68</v>
      </c>
      <c r="B965" s="4" t="s">
        <v>29</v>
      </c>
    </row>
    <row r="966" spans="1:2" s="114" customFormat="1" x14ac:dyDescent="0.25">
      <c r="A966" s="4" t="s">
        <v>68</v>
      </c>
      <c r="B966" s="4" t="s">
        <v>29</v>
      </c>
    </row>
    <row r="967" spans="1:2" s="114" customFormat="1" x14ac:dyDescent="0.25">
      <c r="A967" s="4" t="s">
        <v>68</v>
      </c>
      <c r="B967" s="4" t="s">
        <v>29</v>
      </c>
    </row>
    <row r="968" spans="1:2" s="114" customFormat="1" x14ac:dyDescent="0.25">
      <c r="A968" s="4" t="s">
        <v>68</v>
      </c>
      <c r="B968" s="4" t="s">
        <v>29</v>
      </c>
    </row>
    <row r="969" spans="1:2" s="114" customFormat="1" x14ac:dyDescent="0.25">
      <c r="A969" s="4" t="s">
        <v>75</v>
      </c>
      <c r="B969" s="4" t="s">
        <v>29</v>
      </c>
    </row>
    <row r="970" spans="1:2" s="114" customFormat="1" x14ac:dyDescent="0.25">
      <c r="A970" s="4" t="s">
        <v>72</v>
      </c>
      <c r="B970" s="4" t="s">
        <v>29</v>
      </c>
    </row>
    <row r="971" spans="1:2" s="114" customFormat="1" x14ac:dyDescent="0.25">
      <c r="A971" s="4" t="s">
        <v>72</v>
      </c>
      <c r="B971" s="4" t="s">
        <v>29</v>
      </c>
    </row>
    <row r="972" spans="1:2" s="114" customFormat="1" x14ac:dyDescent="0.25">
      <c r="A972" s="4" t="s">
        <v>72</v>
      </c>
      <c r="B972" s="4" t="s">
        <v>29</v>
      </c>
    </row>
    <row r="973" spans="1:2" s="114" customFormat="1" x14ac:dyDescent="0.25">
      <c r="A973" s="4" t="s">
        <v>72</v>
      </c>
      <c r="B973" s="4" t="s">
        <v>29</v>
      </c>
    </row>
    <row r="974" spans="1:2" s="114" customFormat="1" x14ac:dyDescent="0.25">
      <c r="A974" s="4" t="s">
        <v>75</v>
      </c>
      <c r="B974" s="4" t="s">
        <v>30</v>
      </c>
    </row>
    <row r="975" spans="1:2" s="114" customFormat="1" x14ac:dyDescent="0.25">
      <c r="A975" s="4" t="s">
        <v>75</v>
      </c>
      <c r="B975" s="4" t="s">
        <v>30</v>
      </c>
    </row>
    <row r="976" spans="1:2" s="114" customFormat="1" x14ac:dyDescent="0.25">
      <c r="A976" s="4" t="s">
        <v>75</v>
      </c>
      <c r="B976" s="4" t="s">
        <v>30</v>
      </c>
    </row>
    <row r="977" spans="1:2" s="114" customFormat="1" x14ac:dyDescent="0.25">
      <c r="A977" s="4" t="s">
        <v>72</v>
      </c>
      <c r="B977" s="4" t="s">
        <v>30</v>
      </c>
    </row>
    <row r="978" spans="1:2" s="114" customFormat="1" x14ac:dyDescent="0.25">
      <c r="A978" s="4" t="s">
        <v>72</v>
      </c>
      <c r="B978" s="4" t="s">
        <v>30</v>
      </c>
    </row>
    <row r="979" spans="1:2" s="114" customFormat="1" x14ac:dyDescent="0.25">
      <c r="A979" s="4" t="s">
        <v>72</v>
      </c>
      <c r="B979" s="4" t="s">
        <v>30</v>
      </c>
    </row>
    <row r="980" spans="1:2" s="114" customFormat="1" x14ac:dyDescent="0.25">
      <c r="A980" s="4" t="s">
        <v>62</v>
      </c>
      <c r="B980" s="4" t="s">
        <v>30</v>
      </c>
    </row>
    <row r="981" spans="1:2" s="114" customFormat="1" x14ac:dyDescent="0.25">
      <c r="A981" s="4" t="s">
        <v>62</v>
      </c>
      <c r="B981" s="4" t="s">
        <v>30</v>
      </c>
    </row>
    <row r="982" spans="1:2" s="114" customFormat="1" x14ac:dyDescent="0.25">
      <c r="A982" s="4" t="s">
        <v>72</v>
      </c>
      <c r="B982" s="4" t="s">
        <v>30</v>
      </c>
    </row>
    <row r="983" spans="1:2" s="114" customFormat="1" x14ac:dyDescent="0.25">
      <c r="A983" s="4" t="s">
        <v>72</v>
      </c>
      <c r="B983" s="4" t="s">
        <v>31</v>
      </c>
    </row>
    <row r="984" spans="1:2" s="114" customFormat="1" x14ac:dyDescent="0.25">
      <c r="A984" s="4" t="s">
        <v>62</v>
      </c>
      <c r="B984" s="4" t="s">
        <v>31</v>
      </c>
    </row>
    <row r="985" spans="1:2" s="114" customFormat="1" x14ac:dyDescent="0.25">
      <c r="A985" s="4" t="s">
        <v>72</v>
      </c>
      <c r="B985" s="4" t="s">
        <v>31</v>
      </c>
    </row>
    <row r="986" spans="1:2" s="114" customFormat="1" x14ac:dyDescent="0.25">
      <c r="A986" s="4" t="s">
        <v>72</v>
      </c>
      <c r="B986" s="4" t="s">
        <v>31</v>
      </c>
    </row>
    <row r="987" spans="1:2" s="114" customFormat="1" x14ac:dyDescent="0.25">
      <c r="A987" s="4" t="s">
        <v>72</v>
      </c>
      <c r="B987" s="4" t="s">
        <v>31</v>
      </c>
    </row>
    <row r="988" spans="1:2" s="114" customFormat="1" x14ac:dyDescent="0.25">
      <c r="A988" s="4" t="s">
        <v>62</v>
      </c>
      <c r="B988" s="4" t="s">
        <v>31</v>
      </c>
    </row>
    <row r="989" spans="1:2" s="114" customFormat="1" x14ac:dyDescent="0.25">
      <c r="A989" s="4" t="s">
        <v>68</v>
      </c>
      <c r="B989" s="4" t="s">
        <v>31</v>
      </c>
    </row>
    <row r="990" spans="1:2" s="114" customFormat="1" x14ac:dyDescent="0.25">
      <c r="A990" s="4" t="s">
        <v>68</v>
      </c>
      <c r="B990" s="4" t="s">
        <v>31</v>
      </c>
    </row>
    <row r="991" spans="1:2" s="114" customFormat="1" x14ac:dyDescent="0.25">
      <c r="A991" s="4" t="s">
        <v>72</v>
      </c>
      <c r="B991" s="4" t="s">
        <v>31</v>
      </c>
    </row>
    <row r="992" spans="1:2" s="114" customFormat="1" x14ac:dyDescent="0.25">
      <c r="A992" s="4" t="s">
        <v>62</v>
      </c>
      <c r="B992" s="4" t="s">
        <v>31</v>
      </c>
    </row>
    <row r="993" spans="1:2" s="114" customFormat="1" x14ac:dyDescent="0.25">
      <c r="A993" s="4" t="s">
        <v>64</v>
      </c>
      <c r="B993" s="4" t="s">
        <v>31</v>
      </c>
    </row>
    <row r="994" spans="1:2" s="114" customFormat="1" x14ac:dyDescent="0.25">
      <c r="A994" s="4" t="s">
        <v>72</v>
      </c>
      <c r="B994" s="4" t="s">
        <v>31</v>
      </c>
    </row>
    <row r="995" spans="1:2" s="114" customFormat="1" x14ac:dyDescent="0.25">
      <c r="A995" s="4" t="s">
        <v>72</v>
      </c>
      <c r="B995" s="4" t="s">
        <v>31</v>
      </c>
    </row>
    <row r="996" spans="1:2" s="114" customFormat="1" x14ac:dyDescent="0.25">
      <c r="A996" s="4" t="s">
        <v>72</v>
      </c>
      <c r="B996" s="4" t="s">
        <v>31</v>
      </c>
    </row>
    <row r="997" spans="1:2" s="114" customFormat="1" x14ac:dyDescent="0.25">
      <c r="A997" s="4" t="s">
        <v>68</v>
      </c>
      <c r="B997" s="4" t="s">
        <v>31</v>
      </c>
    </row>
    <row r="998" spans="1:2" s="114" customFormat="1" x14ac:dyDescent="0.25">
      <c r="A998" s="4" t="s">
        <v>62</v>
      </c>
      <c r="B998" s="4" t="s">
        <v>31</v>
      </c>
    </row>
    <row r="999" spans="1:2" s="114" customFormat="1" x14ac:dyDescent="0.25">
      <c r="A999" s="4" t="s">
        <v>68</v>
      </c>
      <c r="B999" s="4" t="s">
        <v>32</v>
      </c>
    </row>
    <row r="1000" spans="1:2" s="114" customFormat="1" x14ac:dyDescent="0.25">
      <c r="A1000" s="4" t="s">
        <v>68</v>
      </c>
      <c r="B1000" s="4" t="s">
        <v>32</v>
      </c>
    </row>
    <row r="1001" spans="1:2" s="114" customFormat="1" x14ac:dyDescent="0.25">
      <c r="A1001" s="4" t="s">
        <v>68</v>
      </c>
      <c r="B1001" s="4" t="s">
        <v>32</v>
      </c>
    </row>
    <row r="1002" spans="1:2" s="114" customFormat="1" x14ac:dyDescent="0.25">
      <c r="A1002" s="4" t="s">
        <v>72</v>
      </c>
      <c r="B1002" s="4" t="s">
        <v>32</v>
      </c>
    </row>
    <row r="1003" spans="1:2" s="114" customFormat="1" x14ac:dyDescent="0.25">
      <c r="A1003" s="4" t="s">
        <v>72</v>
      </c>
      <c r="B1003" s="4" t="s">
        <v>32</v>
      </c>
    </row>
    <row r="1004" spans="1:2" s="114" customFormat="1" x14ac:dyDescent="0.25">
      <c r="A1004" s="4" t="s">
        <v>65</v>
      </c>
      <c r="B1004" s="4" t="s">
        <v>32</v>
      </c>
    </row>
    <row r="1005" spans="1:2" s="114" customFormat="1" x14ac:dyDescent="0.25">
      <c r="A1005" s="4" t="s">
        <v>73</v>
      </c>
      <c r="B1005" s="4" t="s">
        <v>32</v>
      </c>
    </row>
    <row r="1006" spans="1:2" s="114" customFormat="1" x14ac:dyDescent="0.25">
      <c r="A1006" s="4" t="s">
        <v>71</v>
      </c>
      <c r="B1006" s="4" t="s">
        <v>32</v>
      </c>
    </row>
    <row r="1007" spans="1:2" s="114" customFormat="1" x14ac:dyDescent="0.25">
      <c r="A1007" s="4" t="s">
        <v>68</v>
      </c>
      <c r="B1007" s="4" t="s">
        <v>32</v>
      </c>
    </row>
    <row r="1008" spans="1:2" s="114" customFormat="1" x14ac:dyDescent="0.25">
      <c r="A1008" s="4" t="s">
        <v>68</v>
      </c>
      <c r="B1008" s="4" t="s">
        <v>32</v>
      </c>
    </row>
    <row r="1009" spans="1:2" s="114" customFormat="1" x14ac:dyDescent="0.25">
      <c r="A1009" s="4" t="s">
        <v>72</v>
      </c>
      <c r="B1009" s="4" t="s">
        <v>33</v>
      </c>
    </row>
    <row r="1010" spans="1:2" s="114" customFormat="1" x14ac:dyDescent="0.25">
      <c r="A1010" s="4" t="s">
        <v>73</v>
      </c>
      <c r="B1010" s="4" t="s">
        <v>33</v>
      </c>
    </row>
    <row r="1011" spans="1:2" s="114" customFormat="1" x14ac:dyDescent="0.25">
      <c r="A1011" s="4" t="s">
        <v>67</v>
      </c>
      <c r="B1011" s="4" t="s">
        <v>33</v>
      </c>
    </row>
    <row r="1012" spans="1:2" s="114" customFormat="1" x14ac:dyDescent="0.25">
      <c r="A1012" s="4" t="s">
        <v>67</v>
      </c>
      <c r="B1012" s="4" t="s">
        <v>33</v>
      </c>
    </row>
    <row r="1013" spans="1:2" s="114" customFormat="1" x14ac:dyDescent="0.25">
      <c r="A1013" s="4" t="s">
        <v>71</v>
      </c>
      <c r="B1013" s="4" t="s">
        <v>33</v>
      </c>
    </row>
    <row r="1014" spans="1:2" s="114" customFormat="1" x14ac:dyDescent="0.25">
      <c r="A1014" s="4" t="s">
        <v>72</v>
      </c>
      <c r="B1014" s="4" t="s">
        <v>33</v>
      </c>
    </row>
    <row r="1015" spans="1:2" s="114" customFormat="1" x14ac:dyDescent="0.25">
      <c r="A1015" s="4" t="s">
        <v>72</v>
      </c>
      <c r="B1015" s="4" t="s">
        <v>33</v>
      </c>
    </row>
    <row r="1016" spans="1:2" s="114" customFormat="1" x14ac:dyDescent="0.25">
      <c r="A1016" s="4" t="s">
        <v>72</v>
      </c>
      <c r="B1016" s="4" t="s">
        <v>33</v>
      </c>
    </row>
    <row r="1017" spans="1:2" s="114" customFormat="1" x14ac:dyDescent="0.25">
      <c r="A1017" s="4" t="s">
        <v>72</v>
      </c>
      <c r="B1017" s="4" t="s">
        <v>33</v>
      </c>
    </row>
    <row r="1018" spans="1:2" s="114" customFormat="1" x14ac:dyDescent="0.25">
      <c r="A1018" s="4" t="s">
        <v>72</v>
      </c>
      <c r="B1018" s="4" t="s">
        <v>33</v>
      </c>
    </row>
    <row r="1019" spans="1:2" s="114" customFormat="1" x14ac:dyDescent="0.25">
      <c r="A1019" s="4" t="s">
        <v>72</v>
      </c>
      <c r="B1019" s="4" t="s">
        <v>33</v>
      </c>
    </row>
    <row r="1020" spans="1:2" s="114" customFormat="1" x14ac:dyDescent="0.25">
      <c r="A1020" s="4" t="s">
        <v>62</v>
      </c>
      <c r="B1020" s="4" t="s">
        <v>33</v>
      </c>
    </row>
    <row r="1021" spans="1:2" s="114" customFormat="1" x14ac:dyDescent="0.25">
      <c r="A1021" s="4" t="s">
        <v>75</v>
      </c>
      <c r="B1021" s="4" t="s">
        <v>33</v>
      </c>
    </row>
    <row r="1022" spans="1:2" s="114" customFormat="1" x14ac:dyDescent="0.25">
      <c r="A1022" s="4" t="s">
        <v>68</v>
      </c>
      <c r="B1022" s="4" t="s">
        <v>33</v>
      </c>
    </row>
    <row r="1023" spans="1:2" s="114" customFormat="1" x14ac:dyDescent="0.25">
      <c r="A1023" s="4" t="s">
        <v>68</v>
      </c>
      <c r="B1023" s="4" t="s">
        <v>33</v>
      </c>
    </row>
    <row r="1024" spans="1:2" s="114" customFormat="1" x14ac:dyDescent="0.25">
      <c r="A1024" s="4" t="s">
        <v>68</v>
      </c>
      <c r="B1024" s="4" t="s">
        <v>33</v>
      </c>
    </row>
    <row r="1025" spans="1:2" s="114" customFormat="1" x14ac:dyDescent="0.25">
      <c r="A1025" s="4" t="s">
        <v>68</v>
      </c>
      <c r="B1025" s="4" t="s">
        <v>33</v>
      </c>
    </row>
    <row r="1026" spans="1:2" s="114" customFormat="1" x14ac:dyDescent="0.25">
      <c r="A1026" s="4" t="s">
        <v>68</v>
      </c>
      <c r="B1026" s="4" t="s">
        <v>33</v>
      </c>
    </row>
    <row r="1027" spans="1:2" s="114" customFormat="1" x14ac:dyDescent="0.25">
      <c r="A1027" s="4" t="s">
        <v>73</v>
      </c>
      <c r="B1027" s="4" t="s">
        <v>33</v>
      </c>
    </row>
    <row r="1028" spans="1:2" s="114" customFormat="1" x14ac:dyDescent="0.25">
      <c r="A1028" s="4" t="s">
        <v>67</v>
      </c>
      <c r="B1028" s="4" t="s">
        <v>33</v>
      </c>
    </row>
    <row r="1029" spans="1:2" s="114" customFormat="1" x14ac:dyDescent="0.25">
      <c r="A1029" s="4" t="s">
        <v>67</v>
      </c>
      <c r="B1029" s="4" t="s">
        <v>33</v>
      </c>
    </row>
    <row r="1030" spans="1:2" s="114" customFormat="1" x14ac:dyDescent="0.25">
      <c r="A1030" s="4" t="s">
        <v>67</v>
      </c>
      <c r="B1030" s="4" t="s">
        <v>33</v>
      </c>
    </row>
    <row r="1031" spans="1:2" s="114" customFormat="1" x14ac:dyDescent="0.25">
      <c r="A1031" s="4" t="s">
        <v>67</v>
      </c>
      <c r="B1031" s="4" t="s">
        <v>33</v>
      </c>
    </row>
    <row r="1032" spans="1:2" s="114" customFormat="1" x14ac:dyDescent="0.25">
      <c r="A1032" s="4" t="s">
        <v>72</v>
      </c>
      <c r="B1032" s="4" t="s">
        <v>33</v>
      </c>
    </row>
    <row r="1033" spans="1:2" s="114" customFormat="1" x14ac:dyDescent="0.25">
      <c r="A1033" s="4" t="s">
        <v>72</v>
      </c>
      <c r="B1033" s="4" t="s">
        <v>33</v>
      </c>
    </row>
    <row r="1034" spans="1:2" s="114" customFormat="1" x14ac:dyDescent="0.25">
      <c r="A1034" s="4" t="s">
        <v>72</v>
      </c>
      <c r="B1034" s="4" t="s">
        <v>33</v>
      </c>
    </row>
    <row r="1035" spans="1:2" s="114" customFormat="1" x14ac:dyDescent="0.25">
      <c r="A1035" s="4" t="s">
        <v>72</v>
      </c>
      <c r="B1035" s="4" t="s">
        <v>33</v>
      </c>
    </row>
    <row r="1036" spans="1:2" s="114" customFormat="1" x14ac:dyDescent="0.25">
      <c r="A1036" s="4" t="s">
        <v>62</v>
      </c>
      <c r="B1036" s="4" t="s">
        <v>33</v>
      </c>
    </row>
    <row r="1037" spans="1:2" s="114" customFormat="1" x14ac:dyDescent="0.25">
      <c r="A1037" s="4" t="s">
        <v>75</v>
      </c>
      <c r="B1037" s="4" t="s">
        <v>33</v>
      </c>
    </row>
    <row r="1038" spans="1:2" s="114" customFormat="1" x14ac:dyDescent="0.25">
      <c r="A1038" s="4" t="s">
        <v>68</v>
      </c>
      <c r="B1038" s="4" t="s">
        <v>33</v>
      </c>
    </row>
    <row r="1039" spans="1:2" s="114" customFormat="1" x14ac:dyDescent="0.25">
      <c r="A1039" s="4" t="s">
        <v>68</v>
      </c>
      <c r="B1039" s="4" t="s">
        <v>33</v>
      </c>
    </row>
    <row r="1040" spans="1:2" s="114" customFormat="1" x14ac:dyDescent="0.25">
      <c r="A1040" s="4" t="s">
        <v>68</v>
      </c>
      <c r="B1040" s="4" t="s">
        <v>33</v>
      </c>
    </row>
    <row r="1041" spans="1:2" s="114" customFormat="1" x14ac:dyDescent="0.25">
      <c r="A1041" s="4" t="s">
        <v>68</v>
      </c>
      <c r="B1041" s="4" t="s">
        <v>33</v>
      </c>
    </row>
    <row r="1042" spans="1:2" s="114" customFormat="1" x14ac:dyDescent="0.25">
      <c r="A1042" s="4" t="s">
        <v>68</v>
      </c>
      <c r="B1042" s="4" t="s">
        <v>33</v>
      </c>
    </row>
    <row r="1043" spans="1:2" s="114" customFormat="1" x14ac:dyDescent="0.25">
      <c r="A1043" s="4" t="s">
        <v>68</v>
      </c>
      <c r="B1043" s="4" t="s">
        <v>33</v>
      </c>
    </row>
    <row r="1044" spans="1:2" s="114" customFormat="1" x14ac:dyDescent="0.25">
      <c r="A1044" s="4" t="s">
        <v>68</v>
      </c>
      <c r="B1044" s="4" t="s">
        <v>33</v>
      </c>
    </row>
    <row r="1045" spans="1:2" s="114" customFormat="1" x14ac:dyDescent="0.25">
      <c r="A1045" s="4" t="s">
        <v>68</v>
      </c>
      <c r="B1045" s="4" t="s">
        <v>33</v>
      </c>
    </row>
    <row r="1046" spans="1:2" s="114" customFormat="1" x14ac:dyDescent="0.25">
      <c r="A1046" s="4" t="s">
        <v>68</v>
      </c>
      <c r="B1046" s="4" t="s">
        <v>33</v>
      </c>
    </row>
    <row r="1047" spans="1:2" s="114" customFormat="1" x14ac:dyDescent="0.25">
      <c r="A1047" s="4" t="s">
        <v>68</v>
      </c>
      <c r="B1047" s="4" t="s">
        <v>33</v>
      </c>
    </row>
    <row r="1048" spans="1:2" s="114" customFormat="1" x14ac:dyDescent="0.25">
      <c r="A1048" s="4" t="s">
        <v>68</v>
      </c>
      <c r="B1048" s="4" t="s">
        <v>33</v>
      </c>
    </row>
    <row r="1049" spans="1:2" s="114" customFormat="1" x14ac:dyDescent="0.25">
      <c r="A1049" s="4" t="s">
        <v>68</v>
      </c>
      <c r="B1049" s="4" t="s">
        <v>33</v>
      </c>
    </row>
    <row r="1050" spans="1:2" s="114" customFormat="1" x14ac:dyDescent="0.25">
      <c r="A1050" s="4" t="s">
        <v>68</v>
      </c>
      <c r="B1050" s="4" t="s">
        <v>33</v>
      </c>
    </row>
    <row r="1051" spans="1:2" s="114" customFormat="1" x14ac:dyDescent="0.25">
      <c r="A1051" s="4" t="s">
        <v>68</v>
      </c>
      <c r="B1051" s="4" t="s">
        <v>33</v>
      </c>
    </row>
    <row r="1052" spans="1:2" s="114" customFormat="1" x14ac:dyDescent="0.25">
      <c r="A1052" s="4" t="s">
        <v>68</v>
      </c>
      <c r="B1052" s="4" t="s">
        <v>33</v>
      </c>
    </row>
    <row r="1053" spans="1:2" s="114" customFormat="1" x14ac:dyDescent="0.25">
      <c r="A1053" s="4" t="s">
        <v>72</v>
      </c>
      <c r="B1053" s="4" t="s">
        <v>33</v>
      </c>
    </row>
    <row r="1054" spans="1:2" s="114" customFormat="1" x14ac:dyDescent="0.25">
      <c r="A1054" s="4" t="s">
        <v>72</v>
      </c>
      <c r="B1054" s="4" t="s">
        <v>33</v>
      </c>
    </row>
    <row r="1055" spans="1:2" s="114" customFormat="1" x14ac:dyDescent="0.25">
      <c r="A1055" s="4" t="s">
        <v>68</v>
      </c>
      <c r="B1055" s="4" t="s">
        <v>33</v>
      </c>
    </row>
    <row r="1056" spans="1:2" s="114" customFormat="1" x14ac:dyDescent="0.25">
      <c r="A1056" s="4" t="s">
        <v>68</v>
      </c>
      <c r="B1056" s="4" t="s">
        <v>33</v>
      </c>
    </row>
    <row r="1057" spans="1:2" s="114" customFormat="1" x14ac:dyDescent="0.25">
      <c r="A1057" s="4" t="s">
        <v>68</v>
      </c>
      <c r="B1057" s="4" t="s">
        <v>33</v>
      </c>
    </row>
    <row r="1058" spans="1:2" s="114" customFormat="1" x14ac:dyDescent="0.25">
      <c r="A1058" s="4" t="s">
        <v>68</v>
      </c>
      <c r="B1058" s="4" t="s">
        <v>33</v>
      </c>
    </row>
    <row r="1059" spans="1:2" s="114" customFormat="1" x14ac:dyDescent="0.25">
      <c r="A1059" s="4" t="s">
        <v>68</v>
      </c>
      <c r="B1059" s="4" t="s">
        <v>33</v>
      </c>
    </row>
    <row r="1060" spans="1:2" s="114" customFormat="1" x14ac:dyDescent="0.25">
      <c r="A1060" s="4" t="s">
        <v>581</v>
      </c>
      <c r="B1060" s="4" t="s">
        <v>33</v>
      </c>
    </row>
    <row r="1061" spans="1:2" s="114" customFormat="1" x14ac:dyDescent="0.25">
      <c r="A1061" s="4" t="s">
        <v>67</v>
      </c>
      <c r="B1061" s="4" t="s">
        <v>33</v>
      </c>
    </row>
    <row r="1062" spans="1:2" s="114" customFormat="1" x14ac:dyDescent="0.25">
      <c r="A1062" s="4" t="s">
        <v>72</v>
      </c>
      <c r="B1062" s="4" t="s">
        <v>33</v>
      </c>
    </row>
    <row r="1063" spans="1:2" s="114" customFormat="1" x14ac:dyDescent="0.25">
      <c r="A1063" s="4" t="s">
        <v>73</v>
      </c>
      <c r="B1063" s="4" t="s">
        <v>33</v>
      </c>
    </row>
    <row r="1064" spans="1:2" s="114" customFormat="1" x14ac:dyDescent="0.25">
      <c r="A1064" s="4" t="s">
        <v>67</v>
      </c>
      <c r="B1064" s="4" t="s">
        <v>33</v>
      </c>
    </row>
    <row r="1065" spans="1:2" s="114" customFormat="1" x14ac:dyDescent="0.25">
      <c r="A1065" s="4" t="s">
        <v>67</v>
      </c>
      <c r="B1065" s="4" t="s">
        <v>33</v>
      </c>
    </row>
    <row r="1066" spans="1:2" s="114" customFormat="1" x14ac:dyDescent="0.25">
      <c r="A1066" s="4" t="s">
        <v>67</v>
      </c>
      <c r="B1066" s="4" t="s">
        <v>33</v>
      </c>
    </row>
    <row r="1067" spans="1:2" s="114" customFormat="1" x14ac:dyDescent="0.25">
      <c r="A1067" s="4" t="s">
        <v>72</v>
      </c>
      <c r="B1067" s="4" t="s">
        <v>33</v>
      </c>
    </row>
    <row r="1068" spans="1:2" s="114" customFormat="1" x14ac:dyDescent="0.25">
      <c r="A1068" s="4" t="s">
        <v>72</v>
      </c>
      <c r="B1068" s="4" t="s">
        <v>33</v>
      </c>
    </row>
    <row r="1069" spans="1:2" s="114" customFormat="1" x14ac:dyDescent="0.25">
      <c r="A1069" s="4" t="s">
        <v>72</v>
      </c>
      <c r="B1069" s="4" t="s">
        <v>33</v>
      </c>
    </row>
    <row r="1070" spans="1:2" s="114" customFormat="1" x14ac:dyDescent="0.25">
      <c r="A1070" s="4" t="s">
        <v>72</v>
      </c>
      <c r="B1070" s="4" t="s">
        <v>33</v>
      </c>
    </row>
    <row r="1071" spans="1:2" s="114" customFormat="1" x14ac:dyDescent="0.25">
      <c r="A1071" s="4" t="s">
        <v>62</v>
      </c>
      <c r="B1071" s="4" t="s">
        <v>33</v>
      </c>
    </row>
    <row r="1072" spans="1:2" s="114" customFormat="1" x14ac:dyDescent="0.25">
      <c r="A1072" s="4" t="s">
        <v>74</v>
      </c>
      <c r="B1072" s="4" t="s">
        <v>33</v>
      </c>
    </row>
    <row r="1073" spans="1:2" s="114" customFormat="1" x14ac:dyDescent="0.25">
      <c r="A1073" s="4" t="s">
        <v>75</v>
      </c>
      <c r="B1073" s="4" t="s">
        <v>33</v>
      </c>
    </row>
    <row r="1074" spans="1:2" s="114" customFormat="1" x14ac:dyDescent="0.25">
      <c r="A1074" s="4" t="s">
        <v>61</v>
      </c>
      <c r="B1074" s="4" t="s">
        <v>33</v>
      </c>
    </row>
    <row r="1075" spans="1:2" s="114" customFormat="1" x14ac:dyDescent="0.25">
      <c r="A1075" s="4" t="s">
        <v>68</v>
      </c>
      <c r="B1075" s="4" t="s">
        <v>33</v>
      </c>
    </row>
    <row r="1076" spans="1:2" s="114" customFormat="1" x14ac:dyDescent="0.25">
      <c r="A1076" s="4" t="s">
        <v>73</v>
      </c>
      <c r="B1076" s="4" t="s">
        <v>33</v>
      </c>
    </row>
    <row r="1077" spans="1:2" s="114" customFormat="1" x14ac:dyDescent="0.25">
      <c r="A1077" s="4" t="s">
        <v>67</v>
      </c>
      <c r="B1077" s="4" t="s">
        <v>33</v>
      </c>
    </row>
    <row r="1078" spans="1:2" s="114" customFormat="1" x14ac:dyDescent="0.25">
      <c r="A1078" s="4" t="s">
        <v>67</v>
      </c>
      <c r="B1078" s="4" t="s">
        <v>33</v>
      </c>
    </row>
    <row r="1079" spans="1:2" s="114" customFormat="1" x14ac:dyDescent="0.25">
      <c r="A1079" s="4" t="s">
        <v>67</v>
      </c>
      <c r="B1079" s="4" t="s">
        <v>33</v>
      </c>
    </row>
    <row r="1080" spans="1:2" s="114" customFormat="1" x14ac:dyDescent="0.25">
      <c r="A1080" s="4" t="s">
        <v>67</v>
      </c>
      <c r="B1080" s="4" t="s">
        <v>33</v>
      </c>
    </row>
    <row r="1081" spans="1:2" s="114" customFormat="1" x14ac:dyDescent="0.25">
      <c r="A1081" s="4" t="s">
        <v>62</v>
      </c>
      <c r="B1081" s="4" t="s">
        <v>33</v>
      </c>
    </row>
    <row r="1082" spans="1:2" s="114" customFormat="1" x14ac:dyDescent="0.25">
      <c r="A1082" s="4" t="s">
        <v>62</v>
      </c>
      <c r="B1082" s="4" t="s">
        <v>33</v>
      </c>
    </row>
    <row r="1083" spans="1:2" s="114" customFormat="1" x14ac:dyDescent="0.25">
      <c r="A1083" s="4" t="s">
        <v>75</v>
      </c>
      <c r="B1083" s="4" t="s">
        <v>33</v>
      </c>
    </row>
    <row r="1084" spans="1:2" s="114" customFormat="1" x14ac:dyDescent="0.25">
      <c r="A1084" s="4" t="s">
        <v>75</v>
      </c>
      <c r="B1084" s="4" t="s">
        <v>33</v>
      </c>
    </row>
    <row r="1085" spans="1:2" s="114" customFormat="1" x14ac:dyDescent="0.25">
      <c r="A1085" s="4" t="s">
        <v>69</v>
      </c>
      <c r="B1085" s="4" t="s">
        <v>33</v>
      </c>
    </row>
    <row r="1086" spans="1:2" s="114" customFormat="1" x14ac:dyDescent="0.25">
      <c r="A1086" s="4" t="s">
        <v>61</v>
      </c>
      <c r="B1086" s="4" t="s">
        <v>33</v>
      </c>
    </row>
    <row r="1087" spans="1:2" s="114" customFormat="1" x14ac:dyDescent="0.25">
      <c r="A1087" s="4" t="s">
        <v>68</v>
      </c>
      <c r="B1087" s="4" t="s">
        <v>33</v>
      </c>
    </row>
    <row r="1088" spans="1:2" s="114" customFormat="1" x14ac:dyDescent="0.25">
      <c r="A1088" s="4" t="s">
        <v>68</v>
      </c>
      <c r="B1088" s="4" t="s">
        <v>33</v>
      </c>
    </row>
    <row r="1089" spans="1:2" s="114" customFormat="1" x14ac:dyDescent="0.25">
      <c r="A1089" s="4" t="s">
        <v>73</v>
      </c>
      <c r="B1089" s="4" t="s">
        <v>33</v>
      </c>
    </row>
    <row r="1090" spans="1:2" s="114" customFormat="1" x14ac:dyDescent="0.25">
      <c r="A1090" s="4" t="s">
        <v>67</v>
      </c>
      <c r="B1090" s="4" t="s">
        <v>33</v>
      </c>
    </row>
    <row r="1091" spans="1:2" s="114" customFormat="1" x14ac:dyDescent="0.25">
      <c r="A1091" s="4" t="s">
        <v>67</v>
      </c>
      <c r="B1091" s="4" t="s">
        <v>33</v>
      </c>
    </row>
    <row r="1092" spans="1:2" s="114" customFormat="1" x14ac:dyDescent="0.25">
      <c r="A1092" s="4" t="s">
        <v>75</v>
      </c>
      <c r="B1092" s="4" t="s">
        <v>33</v>
      </c>
    </row>
    <row r="1093" spans="1:2" s="114" customFormat="1" x14ac:dyDescent="0.25">
      <c r="A1093" s="4" t="s">
        <v>68</v>
      </c>
      <c r="B1093" s="4" t="s">
        <v>33</v>
      </c>
    </row>
    <row r="1094" spans="1:2" s="114" customFormat="1" x14ac:dyDescent="0.25">
      <c r="A1094" s="4" t="s">
        <v>68</v>
      </c>
      <c r="B1094" s="4" t="s">
        <v>33</v>
      </c>
    </row>
    <row r="1095" spans="1:2" s="114" customFormat="1" x14ac:dyDescent="0.25">
      <c r="A1095" s="4" t="s">
        <v>68</v>
      </c>
      <c r="B1095" s="4" t="s">
        <v>33</v>
      </c>
    </row>
    <row r="1096" spans="1:2" s="114" customFormat="1" x14ac:dyDescent="0.25">
      <c r="A1096" s="4" t="s">
        <v>75</v>
      </c>
      <c r="B1096" s="4" t="s">
        <v>33</v>
      </c>
    </row>
    <row r="1097" spans="1:2" s="114" customFormat="1" x14ac:dyDescent="0.25">
      <c r="A1097" s="4" t="s">
        <v>75</v>
      </c>
      <c r="B1097" s="4" t="s">
        <v>33</v>
      </c>
    </row>
    <row r="1098" spans="1:2" s="114" customFormat="1" x14ac:dyDescent="0.25">
      <c r="A1098" s="4" t="s">
        <v>72</v>
      </c>
      <c r="B1098" s="4" t="s">
        <v>33</v>
      </c>
    </row>
    <row r="1099" spans="1:2" s="114" customFormat="1" x14ac:dyDescent="0.25">
      <c r="A1099" s="4" t="s">
        <v>72</v>
      </c>
      <c r="B1099" s="4" t="s">
        <v>33</v>
      </c>
    </row>
    <row r="1100" spans="1:2" s="114" customFormat="1" x14ac:dyDescent="0.25">
      <c r="A1100" s="4" t="s">
        <v>72</v>
      </c>
      <c r="B1100" s="4" t="s">
        <v>33</v>
      </c>
    </row>
    <row r="1101" spans="1:2" s="114" customFormat="1" x14ac:dyDescent="0.25">
      <c r="A1101" s="4" t="s">
        <v>75</v>
      </c>
      <c r="B1101" s="4" t="s">
        <v>33</v>
      </c>
    </row>
    <row r="1102" spans="1:2" s="114" customFormat="1" x14ac:dyDescent="0.25">
      <c r="A1102" s="4" t="s">
        <v>61</v>
      </c>
      <c r="B1102" s="4" t="s">
        <v>33</v>
      </c>
    </row>
    <row r="1103" spans="1:2" s="114" customFormat="1" x14ac:dyDescent="0.25">
      <c r="A1103" s="4" t="s">
        <v>69</v>
      </c>
      <c r="B1103" s="4" t="s">
        <v>33</v>
      </c>
    </row>
    <row r="1104" spans="1:2" s="114" customFormat="1" x14ac:dyDescent="0.25">
      <c r="A1104" s="4" t="s">
        <v>72</v>
      </c>
      <c r="B1104" s="4" t="s">
        <v>34</v>
      </c>
    </row>
    <row r="1105" spans="1:2" s="114" customFormat="1" x14ac:dyDescent="0.25">
      <c r="A1105" s="4" t="s">
        <v>68</v>
      </c>
      <c r="B1105" s="4" t="s">
        <v>34</v>
      </c>
    </row>
    <row r="1106" spans="1:2" s="114" customFormat="1" x14ac:dyDescent="0.25">
      <c r="A1106" s="4" t="s">
        <v>67</v>
      </c>
      <c r="B1106" s="4" t="s">
        <v>34</v>
      </c>
    </row>
    <row r="1107" spans="1:2" s="114" customFormat="1" x14ac:dyDescent="0.25">
      <c r="A1107" s="4" t="s">
        <v>72</v>
      </c>
      <c r="B1107" s="4" t="s">
        <v>34</v>
      </c>
    </row>
    <row r="1108" spans="1:2" s="114" customFormat="1" x14ac:dyDescent="0.25">
      <c r="A1108" s="4" t="s">
        <v>67</v>
      </c>
      <c r="B1108" s="4" t="s">
        <v>34</v>
      </c>
    </row>
    <row r="1109" spans="1:2" s="114" customFormat="1" x14ac:dyDescent="0.25">
      <c r="A1109" s="4" t="s">
        <v>72</v>
      </c>
      <c r="B1109" s="4" t="s">
        <v>34</v>
      </c>
    </row>
    <row r="1110" spans="1:2" s="114" customFormat="1" x14ac:dyDescent="0.25">
      <c r="A1110" s="4" t="s">
        <v>67</v>
      </c>
      <c r="B1110" s="4" t="s">
        <v>34</v>
      </c>
    </row>
    <row r="1111" spans="1:2" s="114" customFormat="1" x14ac:dyDescent="0.25">
      <c r="A1111" s="4" t="s">
        <v>68</v>
      </c>
      <c r="B1111" s="4" t="s">
        <v>34</v>
      </c>
    </row>
    <row r="1112" spans="1:2" s="114" customFormat="1" x14ac:dyDescent="0.25">
      <c r="A1112" s="4" t="s">
        <v>68</v>
      </c>
      <c r="B1112" s="4" t="s">
        <v>34</v>
      </c>
    </row>
    <row r="1113" spans="1:2" s="114" customFormat="1" x14ac:dyDescent="0.25">
      <c r="A1113" s="4" t="s">
        <v>67</v>
      </c>
      <c r="B1113" s="4" t="s">
        <v>34</v>
      </c>
    </row>
    <row r="1114" spans="1:2" s="114" customFormat="1" x14ac:dyDescent="0.25">
      <c r="A1114" s="4" t="s">
        <v>67</v>
      </c>
      <c r="B1114" s="4" t="s">
        <v>34</v>
      </c>
    </row>
    <row r="1115" spans="1:2" s="114" customFormat="1" x14ac:dyDescent="0.25">
      <c r="A1115" s="4" t="s">
        <v>72</v>
      </c>
      <c r="B1115" s="4" t="s">
        <v>34</v>
      </c>
    </row>
    <row r="1116" spans="1:2" s="114" customFormat="1" x14ac:dyDescent="0.25">
      <c r="A1116" s="4" t="s">
        <v>62</v>
      </c>
      <c r="B1116" s="4" t="s">
        <v>34</v>
      </c>
    </row>
    <row r="1117" spans="1:2" s="114" customFormat="1" x14ac:dyDescent="0.25">
      <c r="A1117" s="4" t="s">
        <v>69</v>
      </c>
      <c r="B1117" s="4" t="s">
        <v>34</v>
      </c>
    </row>
    <row r="1118" spans="1:2" s="114" customFormat="1" x14ac:dyDescent="0.25">
      <c r="A1118" s="4" t="s">
        <v>72</v>
      </c>
      <c r="B1118" s="4" t="s">
        <v>34</v>
      </c>
    </row>
    <row r="1119" spans="1:2" s="114" customFormat="1" x14ac:dyDescent="0.25">
      <c r="A1119" s="4" t="s">
        <v>72</v>
      </c>
      <c r="B1119" s="4" t="s">
        <v>34</v>
      </c>
    </row>
    <row r="1120" spans="1:2" s="114" customFormat="1" x14ac:dyDescent="0.25">
      <c r="A1120" s="4" t="s">
        <v>68</v>
      </c>
      <c r="B1120" s="4" t="s">
        <v>34</v>
      </c>
    </row>
    <row r="1121" spans="1:2" s="114" customFormat="1" x14ac:dyDescent="0.25">
      <c r="A1121" s="4" t="s">
        <v>67</v>
      </c>
      <c r="B1121" s="4" t="s">
        <v>34</v>
      </c>
    </row>
    <row r="1122" spans="1:2" s="114" customFormat="1" x14ac:dyDescent="0.25">
      <c r="A1122" s="4" t="s">
        <v>69</v>
      </c>
      <c r="B1122" s="4" t="s">
        <v>34</v>
      </c>
    </row>
    <row r="1123" spans="1:2" s="114" customFormat="1" x14ac:dyDescent="0.25">
      <c r="A1123" s="4" t="s">
        <v>72</v>
      </c>
      <c r="B1123" s="4" t="s">
        <v>35</v>
      </c>
    </row>
    <row r="1124" spans="1:2" s="114" customFormat="1" x14ac:dyDescent="0.25">
      <c r="A1124" s="4" t="s">
        <v>72</v>
      </c>
      <c r="B1124" s="4" t="s">
        <v>35</v>
      </c>
    </row>
    <row r="1125" spans="1:2" s="114" customFormat="1" x14ac:dyDescent="0.25">
      <c r="A1125" s="4" t="s">
        <v>72</v>
      </c>
      <c r="B1125" s="4" t="s">
        <v>35</v>
      </c>
    </row>
    <row r="1126" spans="1:2" s="114" customFormat="1" x14ac:dyDescent="0.25">
      <c r="A1126" s="4" t="s">
        <v>66</v>
      </c>
      <c r="B1126" s="4" t="s">
        <v>35</v>
      </c>
    </row>
    <row r="1127" spans="1:2" s="114" customFormat="1" x14ac:dyDescent="0.25">
      <c r="A1127" s="4" t="s">
        <v>68</v>
      </c>
      <c r="B1127" s="4" t="s">
        <v>35</v>
      </c>
    </row>
    <row r="1128" spans="1:2" s="114" customFormat="1" x14ac:dyDescent="0.25">
      <c r="A1128" s="4" t="s">
        <v>68</v>
      </c>
      <c r="B1128" s="4" t="s">
        <v>35</v>
      </c>
    </row>
    <row r="1129" spans="1:2" s="114" customFormat="1" x14ac:dyDescent="0.25">
      <c r="A1129" s="4" t="s">
        <v>72</v>
      </c>
      <c r="B1129" s="4" t="s">
        <v>35</v>
      </c>
    </row>
    <row r="1130" spans="1:2" s="114" customFormat="1" x14ac:dyDescent="0.25">
      <c r="A1130" s="4" t="s">
        <v>68</v>
      </c>
      <c r="B1130" s="4" t="s">
        <v>35</v>
      </c>
    </row>
    <row r="1131" spans="1:2" s="114" customFormat="1" x14ac:dyDescent="0.25">
      <c r="A1131" s="4" t="s">
        <v>68</v>
      </c>
      <c r="B1131" s="4" t="s">
        <v>35</v>
      </c>
    </row>
    <row r="1132" spans="1:2" s="114" customFormat="1" x14ac:dyDescent="0.25">
      <c r="A1132" s="4" t="s">
        <v>68</v>
      </c>
      <c r="B1132" s="4" t="s">
        <v>35</v>
      </c>
    </row>
    <row r="1133" spans="1:2" s="114" customFormat="1" x14ac:dyDescent="0.25">
      <c r="A1133" s="4" t="s">
        <v>68</v>
      </c>
      <c r="B1133" s="4" t="s">
        <v>35</v>
      </c>
    </row>
    <row r="1134" spans="1:2" s="114" customFormat="1" x14ac:dyDescent="0.25">
      <c r="A1134" s="4" t="s">
        <v>68</v>
      </c>
      <c r="B1134" s="4" t="s">
        <v>35</v>
      </c>
    </row>
    <row r="1135" spans="1:2" s="114" customFormat="1" x14ac:dyDescent="0.25">
      <c r="A1135" s="4" t="s">
        <v>65</v>
      </c>
      <c r="B1135" s="4" t="s">
        <v>35</v>
      </c>
    </row>
    <row r="1136" spans="1:2" s="114" customFormat="1" x14ac:dyDescent="0.25">
      <c r="A1136" s="4" t="s">
        <v>72</v>
      </c>
      <c r="B1136" s="4" t="s">
        <v>35</v>
      </c>
    </row>
    <row r="1137" spans="1:2" s="114" customFormat="1" x14ac:dyDescent="0.25">
      <c r="A1137" s="4" t="s">
        <v>72</v>
      </c>
      <c r="B1137" s="4" t="s">
        <v>35</v>
      </c>
    </row>
    <row r="1138" spans="1:2" s="114" customFormat="1" x14ac:dyDescent="0.25">
      <c r="A1138" s="4" t="s">
        <v>75</v>
      </c>
      <c r="B1138" s="4" t="s">
        <v>35</v>
      </c>
    </row>
    <row r="1139" spans="1:2" s="114" customFormat="1" x14ac:dyDescent="0.25">
      <c r="A1139" s="4" t="s">
        <v>60</v>
      </c>
      <c r="B1139" s="4" t="s">
        <v>35</v>
      </c>
    </row>
    <row r="1140" spans="1:2" s="114" customFormat="1" x14ac:dyDescent="0.25">
      <c r="A1140" s="4" t="s">
        <v>72</v>
      </c>
      <c r="B1140" s="4" t="s">
        <v>35</v>
      </c>
    </row>
    <row r="1141" spans="1:2" s="114" customFormat="1" x14ac:dyDescent="0.25">
      <c r="A1141" s="4" t="s">
        <v>72</v>
      </c>
      <c r="B1141" s="4" t="s">
        <v>35</v>
      </c>
    </row>
    <row r="1142" spans="1:2" s="114" customFormat="1" x14ac:dyDescent="0.25">
      <c r="A1142" s="4" t="s">
        <v>67</v>
      </c>
      <c r="B1142" s="4" t="s">
        <v>36</v>
      </c>
    </row>
    <row r="1143" spans="1:2" s="114" customFormat="1" x14ac:dyDescent="0.25">
      <c r="A1143" s="4" t="s">
        <v>67</v>
      </c>
      <c r="B1143" s="4" t="s">
        <v>36</v>
      </c>
    </row>
    <row r="1144" spans="1:2" s="114" customFormat="1" x14ac:dyDescent="0.25">
      <c r="A1144" s="4" t="s">
        <v>67</v>
      </c>
      <c r="B1144" s="4" t="s">
        <v>36</v>
      </c>
    </row>
    <row r="1145" spans="1:2" s="114" customFormat="1" x14ac:dyDescent="0.25">
      <c r="A1145" s="4" t="s">
        <v>67</v>
      </c>
      <c r="B1145" s="4" t="s">
        <v>36</v>
      </c>
    </row>
    <row r="1146" spans="1:2" s="114" customFormat="1" x14ac:dyDescent="0.25">
      <c r="A1146" s="4" t="s">
        <v>67</v>
      </c>
      <c r="B1146" s="4" t="s">
        <v>36</v>
      </c>
    </row>
    <row r="1147" spans="1:2" s="114" customFormat="1" x14ac:dyDescent="0.25">
      <c r="A1147" s="4" t="s">
        <v>67</v>
      </c>
      <c r="B1147" s="4" t="s">
        <v>36</v>
      </c>
    </row>
    <row r="1148" spans="1:2" s="114" customFormat="1" x14ac:dyDescent="0.25">
      <c r="A1148" s="4" t="s">
        <v>67</v>
      </c>
      <c r="B1148" s="4" t="s">
        <v>36</v>
      </c>
    </row>
    <row r="1149" spans="1:2" s="114" customFormat="1" x14ac:dyDescent="0.25">
      <c r="A1149" s="4" t="s">
        <v>67</v>
      </c>
      <c r="B1149" s="4" t="s">
        <v>36</v>
      </c>
    </row>
    <row r="1150" spans="1:2" s="114" customFormat="1" x14ac:dyDescent="0.25">
      <c r="A1150" s="4" t="s">
        <v>67</v>
      </c>
      <c r="B1150" s="4" t="s">
        <v>36</v>
      </c>
    </row>
    <row r="1151" spans="1:2" s="114" customFormat="1" x14ac:dyDescent="0.25">
      <c r="A1151" s="4" t="s">
        <v>67</v>
      </c>
      <c r="B1151" s="4" t="s">
        <v>36</v>
      </c>
    </row>
    <row r="1152" spans="1:2" s="114" customFormat="1" x14ac:dyDescent="0.25">
      <c r="A1152" s="4" t="s">
        <v>72</v>
      </c>
      <c r="B1152" s="4" t="s">
        <v>36</v>
      </c>
    </row>
    <row r="1153" spans="1:2" s="114" customFormat="1" x14ac:dyDescent="0.25">
      <c r="A1153" s="4" t="s">
        <v>69</v>
      </c>
      <c r="B1153" s="4" t="s">
        <v>36</v>
      </c>
    </row>
    <row r="1154" spans="1:2" s="114" customFormat="1" x14ac:dyDescent="0.25">
      <c r="A1154" s="4" t="s">
        <v>69</v>
      </c>
      <c r="B1154" s="4" t="s">
        <v>36</v>
      </c>
    </row>
    <row r="1155" spans="1:2" s="114" customFormat="1" x14ac:dyDescent="0.25">
      <c r="A1155" s="4" t="s">
        <v>69</v>
      </c>
      <c r="B1155" s="4" t="s">
        <v>36</v>
      </c>
    </row>
    <row r="1156" spans="1:2" s="114" customFormat="1" x14ac:dyDescent="0.25">
      <c r="A1156" s="4" t="s">
        <v>61</v>
      </c>
      <c r="B1156" s="4" t="s">
        <v>36</v>
      </c>
    </row>
    <row r="1157" spans="1:2" s="114" customFormat="1" x14ac:dyDescent="0.25">
      <c r="A1157" s="4" t="s">
        <v>68</v>
      </c>
      <c r="B1157" s="4" t="s">
        <v>36</v>
      </c>
    </row>
    <row r="1158" spans="1:2" s="114" customFormat="1" x14ac:dyDescent="0.25">
      <c r="A1158" s="4" t="s">
        <v>68</v>
      </c>
      <c r="B1158" s="4" t="s">
        <v>36</v>
      </c>
    </row>
    <row r="1159" spans="1:2" s="114" customFormat="1" x14ac:dyDescent="0.25">
      <c r="A1159" s="4" t="s">
        <v>68</v>
      </c>
      <c r="B1159" s="4" t="s">
        <v>36</v>
      </c>
    </row>
    <row r="1160" spans="1:2" s="114" customFormat="1" x14ac:dyDescent="0.25">
      <c r="A1160" s="4" t="s">
        <v>68</v>
      </c>
      <c r="B1160" s="4" t="s">
        <v>36</v>
      </c>
    </row>
    <row r="1161" spans="1:2" s="114" customFormat="1" x14ac:dyDescent="0.25">
      <c r="A1161" s="4" t="s">
        <v>68</v>
      </c>
      <c r="B1161" s="4" t="s">
        <v>36</v>
      </c>
    </row>
    <row r="1162" spans="1:2" s="114" customFormat="1" x14ac:dyDescent="0.25">
      <c r="A1162" s="4" t="s">
        <v>68</v>
      </c>
      <c r="B1162" s="4" t="s">
        <v>36</v>
      </c>
    </row>
    <row r="1163" spans="1:2" s="114" customFormat="1" x14ac:dyDescent="0.25">
      <c r="A1163" s="4" t="s">
        <v>68</v>
      </c>
      <c r="B1163" s="4" t="s">
        <v>36</v>
      </c>
    </row>
    <row r="1164" spans="1:2" s="114" customFormat="1" x14ac:dyDescent="0.25">
      <c r="A1164" s="4" t="s">
        <v>68</v>
      </c>
      <c r="B1164" s="4" t="s">
        <v>36</v>
      </c>
    </row>
    <row r="1165" spans="1:2" s="114" customFormat="1" x14ac:dyDescent="0.25">
      <c r="A1165" s="4" t="s">
        <v>68</v>
      </c>
      <c r="B1165" s="4" t="s">
        <v>36</v>
      </c>
    </row>
    <row r="1166" spans="1:2" s="114" customFormat="1" x14ac:dyDescent="0.25">
      <c r="A1166" s="4" t="s">
        <v>68</v>
      </c>
      <c r="B1166" s="4" t="s">
        <v>36</v>
      </c>
    </row>
    <row r="1167" spans="1:2" s="114" customFormat="1" x14ac:dyDescent="0.25">
      <c r="A1167" s="4" t="s">
        <v>67</v>
      </c>
      <c r="B1167" s="4" t="s">
        <v>36</v>
      </c>
    </row>
    <row r="1168" spans="1:2" s="114" customFormat="1" x14ac:dyDescent="0.25">
      <c r="A1168" s="4" t="s">
        <v>67</v>
      </c>
      <c r="B1168" s="4" t="s">
        <v>36</v>
      </c>
    </row>
    <row r="1169" spans="1:2" s="114" customFormat="1" x14ac:dyDescent="0.25">
      <c r="A1169" s="4" t="s">
        <v>67</v>
      </c>
      <c r="B1169" s="4" t="s">
        <v>36</v>
      </c>
    </row>
    <row r="1170" spans="1:2" s="114" customFormat="1" x14ac:dyDescent="0.25">
      <c r="A1170" s="4" t="s">
        <v>67</v>
      </c>
      <c r="B1170" s="4" t="s">
        <v>36</v>
      </c>
    </row>
    <row r="1171" spans="1:2" s="114" customFormat="1" x14ac:dyDescent="0.25">
      <c r="A1171" s="4" t="s">
        <v>69</v>
      </c>
      <c r="B1171" s="4" t="s">
        <v>36</v>
      </c>
    </row>
    <row r="1172" spans="1:2" s="114" customFormat="1" x14ac:dyDescent="0.25">
      <c r="A1172" s="4" t="s">
        <v>69</v>
      </c>
      <c r="B1172" s="4" t="s">
        <v>36</v>
      </c>
    </row>
    <row r="1173" spans="1:2" s="114" customFormat="1" x14ac:dyDescent="0.25">
      <c r="A1173" s="4" t="s">
        <v>68</v>
      </c>
      <c r="B1173" s="4" t="s">
        <v>36</v>
      </c>
    </row>
    <row r="1174" spans="1:2" s="114" customFormat="1" x14ac:dyDescent="0.25">
      <c r="A1174" s="4" t="s">
        <v>68</v>
      </c>
      <c r="B1174" s="4" t="s">
        <v>36</v>
      </c>
    </row>
    <row r="1175" spans="1:2" s="114" customFormat="1" x14ac:dyDescent="0.25">
      <c r="A1175" s="4" t="s">
        <v>68</v>
      </c>
      <c r="B1175" s="4" t="s">
        <v>36</v>
      </c>
    </row>
    <row r="1176" spans="1:2" s="114" customFormat="1" x14ac:dyDescent="0.25">
      <c r="A1176" s="4" t="s">
        <v>68</v>
      </c>
      <c r="B1176" s="4" t="s">
        <v>36</v>
      </c>
    </row>
    <row r="1177" spans="1:2" s="114" customFormat="1" x14ac:dyDescent="0.25">
      <c r="A1177" s="4" t="s">
        <v>68</v>
      </c>
      <c r="B1177" s="4" t="s">
        <v>36</v>
      </c>
    </row>
    <row r="1178" spans="1:2" s="114" customFormat="1" x14ac:dyDescent="0.25">
      <c r="A1178" s="4" t="s">
        <v>68</v>
      </c>
      <c r="B1178" s="4" t="s">
        <v>36</v>
      </c>
    </row>
    <row r="1179" spans="1:2" s="114" customFormat="1" x14ac:dyDescent="0.25">
      <c r="A1179" s="4" t="s">
        <v>68</v>
      </c>
      <c r="B1179" s="4" t="s">
        <v>36</v>
      </c>
    </row>
    <row r="1180" spans="1:2" s="114" customFormat="1" x14ac:dyDescent="0.25">
      <c r="A1180" s="4" t="s">
        <v>68</v>
      </c>
      <c r="B1180" s="4" t="s">
        <v>36</v>
      </c>
    </row>
    <row r="1181" spans="1:2" s="114" customFormat="1" x14ac:dyDescent="0.25">
      <c r="A1181" s="4" t="s">
        <v>68</v>
      </c>
      <c r="B1181" s="4" t="s">
        <v>36</v>
      </c>
    </row>
    <row r="1182" spans="1:2" s="114" customFormat="1" x14ac:dyDescent="0.25">
      <c r="A1182" s="4" t="s">
        <v>68</v>
      </c>
      <c r="B1182" s="4" t="s">
        <v>36</v>
      </c>
    </row>
    <row r="1183" spans="1:2" s="114" customFormat="1" x14ac:dyDescent="0.25">
      <c r="A1183" s="4" t="s">
        <v>67</v>
      </c>
      <c r="B1183" s="4" t="s">
        <v>36</v>
      </c>
    </row>
    <row r="1184" spans="1:2" s="114" customFormat="1" x14ac:dyDescent="0.25">
      <c r="A1184" s="4" t="s">
        <v>67</v>
      </c>
      <c r="B1184" s="4" t="s">
        <v>36</v>
      </c>
    </row>
    <row r="1185" spans="1:2" s="114" customFormat="1" x14ac:dyDescent="0.25">
      <c r="A1185" s="4" t="s">
        <v>67</v>
      </c>
      <c r="B1185" s="4" t="s">
        <v>36</v>
      </c>
    </row>
    <row r="1186" spans="1:2" s="114" customFormat="1" x14ac:dyDescent="0.25">
      <c r="A1186" s="4" t="s">
        <v>67</v>
      </c>
      <c r="B1186" s="4" t="s">
        <v>36</v>
      </c>
    </row>
    <row r="1187" spans="1:2" s="114" customFormat="1" x14ac:dyDescent="0.25">
      <c r="A1187" s="4" t="s">
        <v>72</v>
      </c>
      <c r="B1187" s="4" t="s">
        <v>36</v>
      </c>
    </row>
    <row r="1188" spans="1:2" s="114" customFormat="1" x14ac:dyDescent="0.25">
      <c r="A1188" s="4" t="s">
        <v>62</v>
      </c>
      <c r="B1188" s="4" t="s">
        <v>36</v>
      </c>
    </row>
    <row r="1189" spans="1:2" s="114" customFormat="1" x14ac:dyDescent="0.25">
      <c r="A1189" s="4" t="s">
        <v>75</v>
      </c>
      <c r="B1189" s="4" t="s">
        <v>36</v>
      </c>
    </row>
    <row r="1190" spans="1:2" s="114" customFormat="1" x14ac:dyDescent="0.25">
      <c r="A1190" s="4" t="s">
        <v>68</v>
      </c>
      <c r="B1190" s="4" t="s">
        <v>36</v>
      </c>
    </row>
    <row r="1191" spans="1:2" s="114" customFormat="1" x14ac:dyDescent="0.25">
      <c r="A1191" s="4" t="s">
        <v>68</v>
      </c>
      <c r="B1191" s="4" t="s">
        <v>36</v>
      </c>
    </row>
    <row r="1192" spans="1:2" s="114" customFormat="1" x14ac:dyDescent="0.25">
      <c r="A1192" s="4" t="s">
        <v>68</v>
      </c>
      <c r="B1192" s="4" t="s">
        <v>36</v>
      </c>
    </row>
    <row r="1193" spans="1:2" s="114" customFormat="1" x14ac:dyDescent="0.25">
      <c r="A1193" s="4" t="s">
        <v>68</v>
      </c>
      <c r="B1193" s="4" t="s">
        <v>36</v>
      </c>
    </row>
    <row r="1194" spans="1:2" s="114" customFormat="1" x14ac:dyDescent="0.25">
      <c r="A1194" s="4" t="s">
        <v>68</v>
      </c>
      <c r="B1194" s="4" t="s">
        <v>36</v>
      </c>
    </row>
    <row r="1195" spans="1:2" s="114" customFormat="1" x14ac:dyDescent="0.25">
      <c r="A1195" s="4" t="s">
        <v>68</v>
      </c>
      <c r="B1195" s="4" t="s">
        <v>36</v>
      </c>
    </row>
    <row r="1196" spans="1:2" s="114" customFormat="1" x14ac:dyDescent="0.25">
      <c r="A1196" s="4" t="s">
        <v>68</v>
      </c>
      <c r="B1196" s="4" t="s">
        <v>36</v>
      </c>
    </row>
    <row r="1197" spans="1:2" s="114" customFormat="1" x14ac:dyDescent="0.25">
      <c r="A1197" s="4" t="s">
        <v>67</v>
      </c>
      <c r="B1197" s="4" t="s">
        <v>36</v>
      </c>
    </row>
    <row r="1198" spans="1:2" s="114" customFormat="1" x14ac:dyDescent="0.25">
      <c r="A1198" s="4" t="s">
        <v>67</v>
      </c>
      <c r="B1198" s="4" t="s">
        <v>36</v>
      </c>
    </row>
    <row r="1199" spans="1:2" s="114" customFormat="1" x14ac:dyDescent="0.25">
      <c r="A1199" s="4" t="s">
        <v>67</v>
      </c>
      <c r="B1199" s="4" t="s">
        <v>36</v>
      </c>
    </row>
    <row r="1200" spans="1:2" s="114" customFormat="1" x14ac:dyDescent="0.25">
      <c r="A1200" s="4" t="s">
        <v>67</v>
      </c>
      <c r="B1200" s="4" t="s">
        <v>36</v>
      </c>
    </row>
    <row r="1201" spans="1:2" s="114" customFormat="1" x14ac:dyDescent="0.25">
      <c r="A1201" s="4" t="s">
        <v>72</v>
      </c>
      <c r="B1201" s="4" t="s">
        <v>36</v>
      </c>
    </row>
    <row r="1202" spans="1:2" s="114" customFormat="1" x14ac:dyDescent="0.25">
      <c r="A1202" s="4" t="s">
        <v>72</v>
      </c>
      <c r="B1202" s="4" t="s">
        <v>36</v>
      </c>
    </row>
    <row r="1203" spans="1:2" s="114" customFormat="1" x14ac:dyDescent="0.25">
      <c r="A1203" s="4" t="s">
        <v>75</v>
      </c>
      <c r="B1203" s="4" t="s">
        <v>36</v>
      </c>
    </row>
    <row r="1204" spans="1:2" s="114" customFormat="1" x14ac:dyDescent="0.25">
      <c r="A1204" s="4" t="s">
        <v>69</v>
      </c>
      <c r="B1204" s="4" t="s">
        <v>36</v>
      </c>
    </row>
    <row r="1205" spans="1:2" s="114" customFormat="1" x14ac:dyDescent="0.25">
      <c r="A1205" s="4" t="s">
        <v>61</v>
      </c>
      <c r="B1205" s="4" t="s">
        <v>36</v>
      </c>
    </row>
    <row r="1206" spans="1:2" s="114" customFormat="1" x14ac:dyDescent="0.25">
      <c r="A1206" s="4" t="s">
        <v>68</v>
      </c>
      <c r="B1206" s="4" t="s">
        <v>36</v>
      </c>
    </row>
    <row r="1207" spans="1:2" s="114" customFormat="1" x14ac:dyDescent="0.25">
      <c r="A1207" s="4" t="s">
        <v>67</v>
      </c>
      <c r="B1207" s="4" t="s">
        <v>36</v>
      </c>
    </row>
    <row r="1208" spans="1:2" s="114" customFormat="1" x14ac:dyDescent="0.25">
      <c r="A1208" s="4" t="s">
        <v>67</v>
      </c>
      <c r="B1208" s="4" t="s">
        <v>36</v>
      </c>
    </row>
    <row r="1209" spans="1:2" s="114" customFormat="1" x14ac:dyDescent="0.25">
      <c r="A1209" s="4" t="s">
        <v>72</v>
      </c>
      <c r="B1209" s="4" t="s">
        <v>36</v>
      </c>
    </row>
    <row r="1210" spans="1:2" s="114" customFormat="1" x14ac:dyDescent="0.25">
      <c r="A1210" s="4" t="s">
        <v>72</v>
      </c>
      <c r="B1210" s="4" t="s">
        <v>36</v>
      </c>
    </row>
    <row r="1211" spans="1:2" s="114" customFormat="1" x14ac:dyDescent="0.25">
      <c r="A1211" s="4" t="s">
        <v>72</v>
      </c>
      <c r="B1211" s="4" t="s">
        <v>36</v>
      </c>
    </row>
    <row r="1212" spans="1:2" s="114" customFormat="1" x14ac:dyDescent="0.25">
      <c r="A1212" s="4" t="s">
        <v>72</v>
      </c>
      <c r="B1212" s="4" t="s">
        <v>36</v>
      </c>
    </row>
    <row r="1213" spans="1:2" s="114" customFormat="1" x14ac:dyDescent="0.25">
      <c r="A1213" s="4" t="s">
        <v>72</v>
      </c>
      <c r="B1213" s="4" t="s">
        <v>36</v>
      </c>
    </row>
    <row r="1214" spans="1:2" s="114" customFormat="1" x14ac:dyDescent="0.25">
      <c r="A1214" s="4" t="s">
        <v>69</v>
      </c>
      <c r="B1214" s="4" t="s">
        <v>36</v>
      </c>
    </row>
    <row r="1215" spans="1:2" s="114" customFormat="1" x14ac:dyDescent="0.25">
      <c r="A1215" s="4" t="s">
        <v>75</v>
      </c>
      <c r="B1215" s="4" t="s">
        <v>36</v>
      </c>
    </row>
    <row r="1216" spans="1:2" s="114" customFormat="1" x14ac:dyDescent="0.25">
      <c r="A1216" s="4" t="s">
        <v>69</v>
      </c>
      <c r="B1216" s="4" t="s">
        <v>36</v>
      </c>
    </row>
    <row r="1217" spans="1:2" s="114" customFormat="1" x14ac:dyDescent="0.25">
      <c r="A1217" s="4" t="s">
        <v>68</v>
      </c>
      <c r="B1217" s="4" t="s">
        <v>36</v>
      </c>
    </row>
    <row r="1218" spans="1:2" s="114" customFormat="1" x14ac:dyDescent="0.25">
      <c r="A1218" s="4" t="s">
        <v>72</v>
      </c>
      <c r="B1218" s="4" t="s">
        <v>37</v>
      </c>
    </row>
    <row r="1219" spans="1:2" s="114" customFormat="1" x14ac:dyDescent="0.25">
      <c r="A1219" s="4" t="s">
        <v>72</v>
      </c>
      <c r="B1219" s="4" t="s">
        <v>37</v>
      </c>
    </row>
    <row r="1220" spans="1:2" s="114" customFormat="1" x14ac:dyDescent="0.25">
      <c r="A1220" s="4" t="s">
        <v>68</v>
      </c>
      <c r="B1220" s="4" t="s">
        <v>37</v>
      </c>
    </row>
    <row r="1221" spans="1:2" s="114" customFormat="1" x14ac:dyDescent="0.25">
      <c r="A1221" s="4" t="s">
        <v>68</v>
      </c>
      <c r="B1221" s="4" t="s">
        <v>37</v>
      </c>
    </row>
    <row r="1222" spans="1:2" s="114" customFormat="1" x14ac:dyDescent="0.25">
      <c r="A1222" s="4" t="s">
        <v>68</v>
      </c>
      <c r="B1222" s="4" t="s">
        <v>37</v>
      </c>
    </row>
    <row r="1223" spans="1:2" s="114" customFormat="1" x14ac:dyDescent="0.25">
      <c r="A1223" s="4" t="s">
        <v>62</v>
      </c>
      <c r="B1223" s="4" t="s">
        <v>37</v>
      </c>
    </row>
    <row r="1224" spans="1:2" s="114" customFormat="1" x14ac:dyDescent="0.25">
      <c r="A1224" s="4" t="s">
        <v>69</v>
      </c>
      <c r="B1224" s="4" t="s">
        <v>38</v>
      </c>
    </row>
    <row r="1225" spans="1:2" s="114" customFormat="1" x14ac:dyDescent="0.25">
      <c r="A1225" s="4" t="s">
        <v>67</v>
      </c>
      <c r="B1225" s="4" t="s">
        <v>38</v>
      </c>
    </row>
    <row r="1226" spans="1:2" s="114" customFormat="1" x14ac:dyDescent="0.25">
      <c r="A1226" s="4" t="s">
        <v>67</v>
      </c>
      <c r="B1226" s="4" t="s">
        <v>38</v>
      </c>
    </row>
    <row r="1227" spans="1:2" s="114" customFormat="1" x14ac:dyDescent="0.25">
      <c r="A1227" s="4" t="s">
        <v>67</v>
      </c>
      <c r="B1227" s="4" t="s">
        <v>38</v>
      </c>
    </row>
    <row r="1228" spans="1:2" s="114" customFormat="1" x14ac:dyDescent="0.25">
      <c r="A1228" s="4" t="s">
        <v>72</v>
      </c>
      <c r="B1228" s="4" t="s">
        <v>38</v>
      </c>
    </row>
    <row r="1229" spans="1:2" s="114" customFormat="1" x14ac:dyDescent="0.25">
      <c r="A1229" s="4" t="s">
        <v>72</v>
      </c>
      <c r="B1229" s="4" t="s">
        <v>38</v>
      </c>
    </row>
    <row r="1230" spans="1:2" s="114" customFormat="1" x14ac:dyDescent="0.25">
      <c r="A1230" s="4" t="s">
        <v>72</v>
      </c>
      <c r="B1230" s="4" t="s">
        <v>38</v>
      </c>
    </row>
    <row r="1231" spans="1:2" s="114" customFormat="1" x14ac:dyDescent="0.25">
      <c r="A1231" s="4" t="s">
        <v>72</v>
      </c>
      <c r="B1231" s="4" t="s">
        <v>38</v>
      </c>
    </row>
    <row r="1232" spans="1:2" s="114" customFormat="1" x14ac:dyDescent="0.25">
      <c r="A1232" s="4" t="s">
        <v>72</v>
      </c>
      <c r="B1232" s="4" t="s">
        <v>38</v>
      </c>
    </row>
    <row r="1233" spans="1:2" s="114" customFormat="1" x14ac:dyDescent="0.25">
      <c r="A1233" s="4" t="s">
        <v>62</v>
      </c>
      <c r="B1233" s="4" t="s">
        <v>38</v>
      </c>
    </row>
    <row r="1234" spans="1:2" s="114" customFormat="1" x14ac:dyDescent="0.25">
      <c r="A1234" s="4" t="s">
        <v>75</v>
      </c>
      <c r="B1234" s="4" t="s">
        <v>38</v>
      </c>
    </row>
    <row r="1235" spans="1:2" s="114" customFormat="1" x14ac:dyDescent="0.25">
      <c r="A1235" s="4" t="s">
        <v>69</v>
      </c>
      <c r="B1235" s="4" t="s">
        <v>38</v>
      </c>
    </row>
    <row r="1236" spans="1:2" s="114" customFormat="1" x14ac:dyDescent="0.25">
      <c r="A1236" s="4" t="s">
        <v>69</v>
      </c>
      <c r="B1236" s="4" t="s">
        <v>38</v>
      </c>
    </row>
    <row r="1237" spans="1:2" s="114" customFormat="1" x14ac:dyDescent="0.25">
      <c r="A1237" s="4" t="s">
        <v>69</v>
      </c>
      <c r="B1237" s="4" t="s">
        <v>38</v>
      </c>
    </row>
    <row r="1238" spans="1:2" s="114" customFormat="1" x14ac:dyDescent="0.25">
      <c r="A1238" s="4" t="s">
        <v>61</v>
      </c>
      <c r="B1238" s="4" t="s">
        <v>38</v>
      </c>
    </row>
    <row r="1239" spans="1:2" s="114" customFormat="1" x14ac:dyDescent="0.25">
      <c r="A1239" s="4" t="s">
        <v>68</v>
      </c>
      <c r="B1239" s="4" t="s">
        <v>38</v>
      </c>
    </row>
    <row r="1240" spans="1:2" s="114" customFormat="1" x14ac:dyDescent="0.25">
      <c r="A1240" s="4" t="s">
        <v>68</v>
      </c>
      <c r="B1240" s="4" t="s">
        <v>38</v>
      </c>
    </row>
    <row r="1241" spans="1:2" s="114" customFormat="1" x14ac:dyDescent="0.25">
      <c r="A1241" s="4" t="s">
        <v>581</v>
      </c>
      <c r="B1241" s="4" t="s">
        <v>38</v>
      </c>
    </row>
    <row r="1242" spans="1:2" s="114" customFormat="1" x14ac:dyDescent="0.25">
      <c r="A1242" s="4" t="s">
        <v>67</v>
      </c>
      <c r="B1242" s="4" t="s">
        <v>38</v>
      </c>
    </row>
    <row r="1243" spans="1:2" s="114" customFormat="1" x14ac:dyDescent="0.25">
      <c r="A1243" s="4" t="s">
        <v>67</v>
      </c>
      <c r="B1243" s="4" t="s">
        <v>38</v>
      </c>
    </row>
    <row r="1244" spans="1:2" s="114" customFormat="1" x14ac:dyDescent="0.25">
      <c r="A1244" s="4" t="s">
        <v>67</v>
      </c>
      <c r="B1244" s="4" t="s">
        <v>38</v>
      </c>
    </row>
    <row r="1245" spans="1:2" s="114" customFormat="1" x14ac:dyDescent="0.25">
      <c r="A1245" s="4" t="s">
        <v>67</v>
      </c>
      <c r="B1245" s="4" t="s">
        <v>38</v>
      </c>
    </row>
    <row r="1246" spans="1:2" s="114" customFormat="1" x14ac:dyDescent="0.25">
      <c r="A1246" s="4" t="s">
        <v>67</v>
      </c>
      <c r="B1246" s="4" t="s">
        <v>38</v>
      </c>
    </row>
    <row r="1247" spans="1:2" s="114" customFormat="1" x14ac:dyDescent="0.25">
      <c r="A1247" s="4" t="s">
        <v>67</v>
      </c>
      <c r="B1247" s="4" t="s">
        <v>38</v>
      </c>
    </row>
    <row r="1248" spans="1:2" s="114" customFormat="1" x14ac:dyDescent="0.25">
      <c r="A1248" s="4" t="s">
        <v>67</v>
      </c>
      <c r="B1248" s="4" t="s">
        <v>38</v>
      </c>
    </row>
    <row r="1249" spans="1:2" s="114" customFormat="1" x14ac:dyDescent="0.25">
      <c r="A1249" s="4" t="s">
        <v>67</v>
      </c>
      <c r="B1249" s="4" t="s">
        <v>38</v>
      </c>
    </row>
    <row r="1250" spans="1:2" s="114" customFormat="1" x14ac:dyDescent="0.25">
      <c r="A1250" s="4" t="s">
        <v>67</v>
      </c>
      <c r="B1250" s="4" t="s">
        <v>38</v>
      </c>
    </row>
    <row r="1251" spans="1:2" s="114" customFormat="1" x14ac:dyDescent="0.25">
      <c r="A1251" s="4" t="s">
        <v>67</v>
      </c>
      <c r="B1251" s="4" t="s">
        <v>38</v>
      </c>
    </row>
    <row r="1252" spans="1:2" s="114" customFormat="1" x14ac:dyDescent="0.25">
      <c r="A1252" s="4" t="s">
        <v>67</v>
      </c>
      <c r="B1252" s="4" t="s">
        <v>38</v>
      </c>
    </row>
    <row r="1253" spans="1:2" s="114" customFormat="1" x14ac:dyDescent="0.25">
      <c r="A1253" s="4" t="s">
        <v>67</v>
      </c>
      <c r="B1253" s="4" t="s">
        <v>38</v>
      </c>
    </row>
    <row r="1254" spans="1:2" s="114" customFormat="1" x14ac:dyDescent="0.25">
      <c r="A1254" s="4" t="s">
        <v>71</v>
      </c>
      <c r="B1254" s="4" t="s">
        <v>38</v>
      </c>
    </row>
    <row r="1255" spans="1:2" s="114" customFormat="1" x14ac:dyDescent="0.25">
      <c r="A1255" s="4" t="s">
        <v>72</v>
      </c>
      <c r="B1255" s="4" t="s">
        <v>38</v>
      </c>
    </row>
    <row r="1256" spans="1:2" s="114" customFormat="1" x14ac:dyDescent="0.25">
      <c r="A1256" s="4" t="s">
        <v>72</v>
      </c>
      <c r="B1256" s="4" t="s">
        <v>38</v>
      </c>
    </row>
    <row r="1257" spans="1:2" s="114" customFormat="1" x14ac:dyDescent="0.25">
      <c r="A1257" s="4" t="s">
        <v>72</v>
      </c>
      <c r="B1257" s="4" t="s">
        <v>38</v>
      </c>
    </row>
    <row r="1258" spans="1:2" s="114" customFormat="1" x14ac:dyDescent="0.25">
      <c r="A1258" s="4" t="s">
        <v>72</v>
      </c>
      <c r="B1258" s="4" t="s">
        <v>38</v>
      </c>
    </row>
    <row r="1259" spans="1:2" s="114" customFormat="1" x14ac:dyDescent="0.25">
      <c r="A1259" s="4" t="s">
        <v>72</v>
      </c>
      <c r="B1259" s="4" t="s">
        <v>38</v>
      </c>
    </row>
    <row r="1260" spans="1:2" s="114" customFormat="1" x14ac:dyDescent="0.25">
      <c r="A1260" s="4" t="s">
        <v>72</v>
      </c>
      <c r="B1260" s="4" t="s">
        <v>38</v>
      </c>
    </row>
    <row r="1261" spans="1:2" s="114" customFormat="1" x14ac:dyDescent="0.25">
      <c r="A1261" s="4" t="s">
        <v>72</v>
      </c>
      <c r="B1261" s="4" t="s">
        <v>38</v>
      </c>
    </row>
    <row r="1262" spans="1:2" s="114" customFormat="1" x14ac:dyDescent="0.25">
      <c r="A1262" s="4" t="s">
        <v>72</v>
      </c>
      <c r="B1262" s="4" t="s">
        <v>38</v>
      </c>
    </row>
    <row r="1263" spans="1:2" s="114" customFormat="1" x14ac:dyDescent="0.25">
      <c r="A1263" s="4" t="s">
        <v>72</v>
      </c>
      <c r="B1263" s="4" t="s">
        <v>38</v>
      </c>
    </row>
    <row r="1264" spans="1:2" s="114" customFormat="1" x14ac:dyDescent="0.25">
      <c r="A1264" s="4" t="s">
        <v>72</v>
      </c>
      <c r="B1264" s="4" t="s">
        <v>38</v>
      </c>
    </row>
    <row r="1265" spans="1:2" s="114" customFormat="1" x14ac:dyDescent="0.25">
      <c r="A1265" s="4" t="s">
        <v>72</v>
      </c>
      <c r="B1265" s="4" t="s">
        <v>38</v>
      </c>
    </row>
    <row r="1266" spans="1:2" s="114" customFormat="1" x14ac:dyDescent="0.25">
      <c r="A1266" s="4" t="s">
        <v>72</v>
      </c>
      <c r="B1266" s="4" t="s">
        <v>38</v>
      </c>
    </row>
    <row r="1267" spans="1:2" s="114" customFormat="1" x14ac:dyDescent="0.25">
      <c r="A1267" s="4" t="s">
        <v>62</v>
      </c>
      <c r="B1267" s="4" t="s">
        <v>38</v>
      </c>
    </row>
    <row r="1268" spans="1:2" s="114" customFormat="1" x14ac:dyDescent="0.25">
      <c r="A1268" s="4" t="s">
        <v>65</v>
      </c>
      <c r="B1268" s="4" t="s">
        <v>38</v>
      </c>
    </row>
    <row r="1269" spans="1:2" s="114" customFormat="1" x14ac:dyDescent="0.25">
      <c r="A1269" s="4" t="s">
        <v>65</v>
      </c>
      <c r="B1269" s="4" t="s">
        <v>38</v>
      </c>
    </row>
    <row r="1270" spans="1:2" s="114" customFormat="1" x14ac:dyDescent="0.25">
      <c r="A1270" s="4" t="s">
        <v>75</v>
      </c>
      <c r="B1270" s="4" t="s">
        <v>38</v>
      </c>
    </row>
    <row r="1271" spans="1:2" s="114" customFormat="1" x14ac:dyDescent="0.25">
      <c r="A1271" s="4" t="s">
        <v>75</v>
      </c>
      <c r="B1271" s="4" t="s">
        <v>38</v>
      </c>
    </row>
    <row r="1272" spans="1:2" s="114" customFormat="1" x14ac:dyDescent="0.25">
      <c r="A1272" s="4" t="s">
        <v>75</v>
      </c>
      <c r="B1272" s="4" t="s">
        <v>38</v>
      </c>
    </row>
    <row r="1273" spans="1:2" s="114" customFormat="1" x14ac:dyDescent="0.25">
      <c r="A1273" s="4" t="s">
        <v>75</v>
      </c>
      <c r="B1273" s="4" t="s">
        <v>38</v>
      </c>
    </row>
    <row r="1274" spans="1:2" s="114" customFormat="1" x14ac:dyDescent="0.25">
      <c r="A1274" s="4" t="s">
        <v>69</v>
      </c>
      <c r="B1274" s="4" t="s">
        <v>38</v>
      </c>
    </row>
    <row r="1275" spans="1:2" s="114" customFormat="1" x14ac:dyDescent="0.25">
      <c r="A1275" s="4" t="s">
        <v>69</v>
      </c>
      <c r="B1275" s="4" t="s">
        <v>38</v>
      </c>
    </row>
    <row r="1276" spans="1:2" s="114" customFormat="1" x14ac:dyDescent="0.25">
      <c r="A1276" s="4" t="s">
        <v>61</v>
      </c>
      <c r="B1276" s="4" t="s">
        <v>38</v>
      </c>
    </row>
    <row r="1277" spans="1:2" s="114" customFormat="1" x14ac:dyDescent="0.25">
      <c r="A1277" s="4" t="s">
        <v>64</v>
      </c>
      <c r="B1277" s="4" t="s">
        <v>38</v>
      </c>
    </row>
    <row r="1278" spans="1:2" s="114" customFormat="1" x14ac:dyDescent="0.25">
      <c r="A1278" s="4" t="s">
        <v>68</v>
      </c>
      <c r="B1278" s="4" t="s">
        <v>38</v>
      </c>
    </row>
    <row r="1279" spans="1:2" s="114" customFormat="1" x14ac:dyDescent="0.25">
      <c r="A1279" s="4" t="s">
        <v>68</v>
      </c>
      <c r="B1279" s="4" t="s">
        <v>38</v>
      </c>
    </row>
    <row r="1280" spans="1:2" s="114" customFormat="1" x14ac:dyDescent="0.25">
      <c r="A1280" s="4" t="s">
        <v>68</v>
      </c>
      <c r="B1280" s="4" t="s">
        <v>38</v>
      </c>
    </row>
    <row r="1281" spans="1:2" s="114" customFormat="1" x14ac:dyDescent="0.25">
      <c r="A1281" s="4" t="s">
        <v>68</v>
      </c>
      <c r="B1281" s="4" t="s">
        <v>38</v>
      </c>
    </row>
    <row r="1282" spans="1:2" s="114" customFormat="1" x14ac:dyDescent="0.25">
      <c r="A1282" s="4" t="s">
        <v>73</v>
      </c>
      <c r="B1282" s="4" t="s">
        <v>38</v>
      </c>
    </row>
    <row r="1283" spans="1:2" s="114" customFormat="1" x14ac:dyDescent="0.25">
      <c r="A1283" s="4" t="s">
        <v>73</v>
      </c>
      <c r="B1283" s="4" t="s">
        <v>38</v>
      </c>
    </row>
    <row r="1284" spans="1:2" s="114" customFormat="1" x14ac:dyDescent="0.25">
      <c r="A1284" s="4" t="s">
        <v>581</v>
      </c>
      <c r="B1284" s="4" t="s">
        <v>38</v>
      </c>
    </row>
    <row r="1285" spans="1:2" s="114" customFormat="1" x14ac:dyDescent="0.25">
      <c r="A1285" s="4" t="s">
        <v>59</v>
      </c>
      <c r="B1285" s="4" t="s">
        <v>38</v>
      </c>
    </row>
    <row r="1286" spans="1:2" s="114" customFormat="1" x14ac:dyDescent="0.25">
      <c r="A1286" s="4" t="s">
        <v>67</v>
      </c>
      <c r="B1286" s="4" t="s">
        <v>38</v>
      </c>
    </row>
    <row r="1287" spans="1:2" s="114" customFormat="1" x14ac:dyDescent="0.25">
      <c r="A1287" s="4" t="s">
        <v>67</v>
      </c>
      <c r="B1287" s="4" t="s">
        <v>38</v>
      </c>
    </row>
    <row r="1288" spans="1:2" s="114" customFormat="1" x14ac:dyDescent="0.25">
      <c r="A1288" s="4" t="s">
        <v>67</v>
      </c>
      <c r="B1288" s="4" t="s">
        <v>38</v>
      </c>
    </row>
    <row r="1289" spans="1:2" s="114" customFormat="1" x14ac:dyDescent="0.25">
      <c r="A1289" s="4" t="s">
        <v>67</v>
      </c>
      <c r="B1289" s="4" t="s">
        <v>38</v>
      </c>
    </row>
    <row r="1290" spans="1:2" s="114" customFormat="1" x14ac:dyDescent="0.25">
      <c r="A1290" s="4" t="s">
        <v>67</v>
      </c>
      <c r="B1290" s="4" t="s">
        <v>38</v>
      </c>
    </row>
    <row r="1291" spans="1:2" s="114" customFormat="1" x14ac:dyDescent="0.25">
      <c r="A1291" s="4" t="s">
        <v>72</v>
      </c>
      <c r="B1291" s="4" t="s">
        <v>38</v>
      </c>
    </row>
    <row r="1292" spans="1:2" s="114" customFormat="1" x14ac:dyDescent="0.25">
      <c r="A1292" s="4" t="s">
        <v>72</v>
      </c>
      <c r="B1292" s="4" t="s">
        <v>38</v>
      </c>
    </row>
    <row r="1293" spans="1:2" s="114" customFormat="1" x14ac:dyDescent="0.25">
      <c r="A1293" s="4" t="s">
        <v>72</v>
      </c>
      <c r="B1293" s="4" t="s">
        <v>38</v>
      </c>
    </row>
    <row r="1294" spans="1:2" s="114" customFormat="1" x14ac:dyDescent="0.25">
      <c r="A1294" s="4" t="s">
        <v>72</v>
      </c>
      <c r="B1294" s="4" t="s">
        <v>38</v>
      </c>
    </row>
    <row r="1295" spans="1:2" s="114" customFormat="1" x14ac:dyDescent="0.25">
      <c r="A1295" s="4" t="s">
        <v>72</v>
      </c>
      <c r="B1295" s="4" t="s">
        <v>38</v>
      </c>
    </row>
    <row r="1296" spans="1:2" s="114" customFormat="1" x14ac:dyDescent="0.25">
      <c r="A1296" s="4" t="s">
        <v>62</v>
      </c>
      <c r="B1296" s="4" t="s">
        <v>38</v>
      </c>
    </row>
    <row r="1297" spans="1:2" s="114" customFormat="1" x14ac:dyDescent="0.25">
      <c r="A1297" s="4" t="s">
        <v>69</v>
      </c>
      <c r="B1297" s="4" t="s">
        <v>38</v>
      </c>
    </row>
    <row r="1298" spans="1:2" s="114" customFormat="1" x14ac:dyDescent="0.25">
      <c r="A1298" s="4" t="s">
        <v>69</v>
      </c>
      <c r="B1298" s="4" t="s">
        <v>38</v>
      </c>
    </row>
    <row r="1299" spans="1:2" s="114" customFormat="1" x14ac:dyDescent="0.25">
      <c r="A1299" s="4" t="s">
        <v>69</v>
      </c>
      <c r="B1299" s="4" t="s">
        <v>38</v>
      </c>
    </row>
    <row r="1300" spans="1:2" s="114" customFormat="1" x14ac:dyDescent="0.25">
      <c r="A1300" s="4" t="s">
        <v>68</v>
      </c>
      <c r="B1300" s="4" t="s">
        <v>38</v>
      </c>
    </row>
    <row r="1301" spans="1:2" s="114" customFormat="1" x14ac:dyDescent="0.25">
      <c r="A1301" s="4" t="s">
        <v>68</v>
      </c>
      <c r="B1301" s="4" t="s">
        <v>38</v>
      </c>
    </row>
    <row r="1302" spans="1:2" s="114" customFormat="1" x14ac:dyDescent="0.25">
      <c r="A1302" s="4" t="s">
        <v>68</v>
      </c>
      <c r="B1302" s="4" t="s">
        <v>38</v>
      </c>
    </row>
    <row r="1303" spans="1:2" s="114" customFormat="1" x14ac:dyDescent="0.25">
      <c r="A1303" s="4" t="s">
        <v>68</v>
      </c>
      <c r="B1303" s="4" t="s">
        <v>38</v>
      </c>
    </row>
    <row r="1304" spans="1:2" s="114" customFormat="1" x14ac:dyDescent="0.25">
      <c r="A1304" s="4" t="s">
        <v>68</v>
      </c>
      <c r="B1304" s="4" t="s">
        <v>38</v>
      </c>
    </row>
    <row r="1305" spans="1:2" s="114" customFormat="1" x14ac:dyDescent="0.25">
      <c r="A1305" s="4" t="s">
        <v>68</v>
      </c>
      <c r="B1305" s="4" t="s">
        <v>38</v>
      </c>
    </row>
    <row r="1306" spans="1:2" s="114" customFormat="1" x14ac:dyDescent="0.25">
      <c r="A1306" s="4" t="s">
        <v>68</v>
      </c>
      <c r="B1306" s="4" t="s">
        <v>38</v>
      </c>
    </row>
    <row r="1307" spans="1:2" s="114" customFormat="1" x14ac:dyDescent="0.25">
      <c r="A1307" s="4" t="s">
        <v>72</v>
      </c>
      <c r="B1307" s="4" t="s">
        <v>38</v>
      </c>
    </row>
    <row r="1308" spans="1:2" s="114" customFormat="1" x14ac:dyDescent="0.25">
      <c r="A1308" s="4" t="s">
        <v>69</v>
      </c>
      <c r="B1308" s="4" t="s">
        <v>38</v>
      </c>
    </row>
    <row r="1309" spans="1:2" s="114" customFormat="1" x14ac:dyDescent="0.25">
      <c r="A1309" s="4" t="s">
        <v>67</v>
      </c>
      <c r="B1309" s="4" t="s">
        <v>38</v>
      </c>
    </row>
    <row r="1310" spans="1:2" s="114" customFormat="1" x14ac:dyDescent="0.25">
      <c r="A1310" s="4" t="s">
        <v>72</v>
      </c>
      <c r="B1310" s="4" t="s">
        <v>38</v>
      </c>
    </row>
    <row r="1311" spans="1:2" s="114" customFormat="1" x14ac:dyDescent="0.25">
      <c r="A1311" s="4" t="s">
        <v>72</v>
      </c>
      <c r="B1311" s="4" t="s">
        <v>38</v>
      </c>
    </row>
    <row r="1312" spans="1:2" s="114" customFormat="1" x14ac:dyDescent="0.25">
      <c r="A1312" s="4" t="s">
        <v>65</v>
      </c>
      <c r="B1312" s="4" t="s">
        <v>38</v>
      </c>
    </row>
    <row r="1313" spans="1:2" s="114" customFormat="1" x14ac:dyDescent="0.25">
      <c r="A1313" s="4" t="s">
        <v>75</v>
      </c>
      <c r="B1313" s="4" t="s">
        <v>38</v>
      </c>
    </row>
    <row r="1314" spans="1:2" s="114" customFormat="1" x14ac:dyDescent="0.25">
      <c r="A1314" s="4" t="s">
        <v>69</v>
      </c>
      <c r="B1314" s="4" t="s">
        <v>38</v>
      </c>
    </row>
    <row r="1315" spans="1:2" s="114" customFormat="1" x14ac:dyDescent="0.25">
      <c r="A1315" s="4" t="s">
        <v>69</v>
      </c>
      <c r="B1315" s="4" t="s">
        <v>38</v>
      </c>
    </row>
    <row r="1316" spans="1:2" s="114" customFormat="1" x14ac:dyDescent="0.25">
      <c r="A1316" s="4" t="s">
        <v>69</v>
      </c>
      <c r="B1316" s="4" t="s">
        <v>38</v>
      </c>
    </row>
    <row r="1317" spans="1:2" s="114" customFormat="1" x14ac:dyDescent="0.25">
      <c r="A1317" s="4" t="s">
        <v>61</v>
      </c>
      <c r="B1317" s="4" t="s">
        <v>38</v>
      </c>
    </row>
    <row r="1318" spans="1:2" s="114" customFormat="1" x14ac:dyDescent="0.25">
      <c r="A1318" s="4" t="s">
        <v>60</v>
      </c>
      <c r="B1318" s="4" t="s">
        <v>38</v>
      </c>
    </row>
    <row r="1319" spans="1:2" s="114" customFormat="1" x14ac:dyDescent="0.25">
      <c r="A1319" s="4" t="s">
        <v>67</v>
      </c>
      <c r="B1319" s="4" t="s">
        <v>38</v>
      </c>
    </row>
    <row r="1320" spans="1:2" s="114" customFormat="1" x14ac:dyDescent="0.25">
      <c r="A1320" s="4" t="s">
        <v>67</v>
      </c>
      <c r="B1320" s="4" t="s">
        <v>38</v>
      </c>
    </row>
    <row r="1321" spans="1:2" s="114" customFormat="1" x14ac:dyDescent="0.25">
      <c r="A1321" s="4" t="s">
        <v>67</v>
      </c>
      <c r="B1321" s="4" t="s">
        <v>38</v>
      </c>
    </row>
    <row r="1322" spans="1:2" s="114" customFormat="1" x14ac:dyDescent="0.25">
      <c r="A1322" s="4" t="s">
        <v>71</v>
      </c>
      <c r="B1322" s="4" t="s">
        <v>38</v>
      </c>
    </row>
    <row r="1323" spans="1:2" s="114" customFormat="1" x14ac:dyDescent="0.25">
      <c r="A1323" s="4" t="s">
        <v>72</v>
      </c>
      <c r="B1323" s="4" t="s">
        <v>38</v>
      </c>
    </row>
    <row r="1324" spans="1:2" s="114" customFormat="1" x14ac:dyDescent="0.25">
      <c r="A1324" s="4" t="s">
        <v>72</v>
      </c>
      <c r="B1324" s="4" t="s">
        <v>38</v>
      </c>
    </row>
    <row r="1325" spans="1:2" s="114" customFormat="1" x14ac:dyDescent="0.25">
      <c r="A1325" s="4" t="s">
        <v>72</v>
      </c>
      <c r="B1325" s="4" t="s">
        <v>38</v>
      </c>
    </row>
    <row r="1326" spans="1:2" s="114" customFormat="1" x14ac:dyDescent="0.25">
      <c r="A1326" s="4" t="s">
        <v>72</v>
      </c>
      <c r="B1326" s="4" t="s">
        <v>38</v>
      </c>
    </row>
    <row r="1327" spans="1:2" s="114" customFormat="1" x14ac:dyDescent="0.25">
      <c r="A1327" s="4" t="s">
        <v>62</v>
      </c>
      <c r="B1327" s="4" t="s">
        <v>38</v>
      </c>
    </row>
    <row r="1328" spans="1:2" s="114" customFormat="1" x14ac:dyDescent="0.25">
      <c r="A1328" s="4" t="s">
        <v>62</v>
      </c>
      <c r="B1328" s="4" t="s">
        <v>38</v>
      </c>
    </row>
    <row r="1329" spans="1:2" s="114" customFormat="1" x14ac:dyDescent="0.25">
      <c r="A1329" s="4" t="s">
        <v>62</v>
      </c>
      <c r="B1329" s="4" t="s">
        <v>38</v>
      </c>
    </row>
    <row r="1330" spans="1:2" s="114" customFormat="1" x14ac:dyDescent="0.25">
      <c r="A1330" s="4" t="s">
        <v>74</v>
      </c>
      <c r="B1330" s="4" t="s">
        <v>38</v>
      </c>
    </row>
    <row r="1331" spans="1:2" s="114" customFormat="1" x14ac:dyDescent="0.25">
      <c r="A1331" s="4" t="s">
        <v>74</v>
      </c>
      <c r="B1331" s="4" t="s">
        <v>38</v>
      </c>
    </row>
    <row r="1332" spans="1:2" s="114" customFormat="1" x14ac:dyDescent="0.25">
      <c r="A1332" s="4" t="s">
        <v>75</v>
      </c>
      <c r="B1332" s="4" t="s">
        <v>38</v>
      </c>
    </row>
    <row r="1333" spans="1:2" s="114" customFormat="1" x14ac:dyDescent="0.25">
      <c r="A1333" s="4" t="s">
        <v>75</v>
      </c>
      <c r="B1333" s="4" t="s">
        <v>38</v>
      </c>
    </row>
    <row r="1334" spans="1:2" s="114" customFormat="1" x14ac:dyDescent="0.25">
      <c r="A1334" s="4" t="s">
        <v>75</v>
      </c>
      <c r="B1334" s="4" t="s">
        <v>38</v>
      </c>
    </row>
    <row r="1335" spans="1:2" s="114" customFormat="1" x14ac:dyDescent="0.25">
      <c r="A1335" s="4" t="s">
        <v>69</v>
      </c>
      <c r="B1335" s="4" t="s">
        <v>38</v>
      </c>
    </row>
    <row r="1336" spans="1:2" s="114" customFormat="1" x14ac:dyDescent="0.25">
      <c r="A1336" s="4" t="s">
        <v>69</v>
      </c>
      <c r="B1336" s="4" t="s">
        <v>38</v>
      </c>
    </row>
    <row r="1337" spans="1:2" s="114" customFormat="1" x14ac:dyDescent="0.25">
      <c r="A1337" s="4" t="s">
        <v>69</v>
      </c>
      <c r="B1337" s="4" t="s">
        <v>38</v>
      </c>
    </row>
    <row r="1338" spans="1:2" s="114" customFormat="1" x14ac:dyDescent="0.25">
      <c r="A1338" s="4" t="s">
        <v>69</v>
      </c>
      <c r="B1338" s="4" t="s">
        <v>38</v>
      </c>
    </row>
    <row r="1339" spans="1:2" s="114" customFormat="1" x14ac:dyDescent="0.25">
      <c r="A1339" s="4" t="s">
        <v>61</v>
      </c>
      <c r="B1339" s="4" t="s">
        <v>38</v>
      </c>
    </row>
    <row r="1340" spans="1:2" s="114" customFormat="1" x14ac:dyDescent="0.25">
      <c r="A1340" s="4" t="s">
        <v>61</v>
      </c>
      <c r="B1340" s="4" t="s">
        <v>38</v>
      </c>
    </row>
    <row r="1341" spans="1:2" s="114" customFormat="1" x14ac:dyDescent="0.25">
      <c r="A1341" s="4" t="s">
        <v>68</v>
      </c>
      <c r="B1341" s="4" t="s">
        <v>38</v>
      </c>
    </row>
    <row r="1342" spans="1:2" s="114" customFormat="1" x14ac:dyDescent="0.25">
      <c r="A1342" s="4" t="s">
        <v>68</v>
      </c>
      <c r="B1342" s="4" t="s">
        <v>38</v>
      </c>
    </row>
    <row r="1343" spans="1:2" s="114" customFormat="1" x14ac:dyDescent="0.25">
      <c r="A1343" s="4" t="s">
        <v>68</v>
      </c>
      <c r="B1343" s="4" t="s">
        <v>38</v>
      </c>
    </row>
    <row r="1344" spans="1:2" s="114" customFormat="1" x14ac:dyDescent="0.25">
      <c r="A1344" s="4" t="s">
        <v>68</v>
      </c>
      <c r="B1344" s="4" t="s">
        <v>38</v>
      </c>
    </row>
    <row r="1345" spans="1:2" s="114" customFormat="1" x14ac:dyDescent="0.25">
      <c r="A1345" s="4" t="s">
        <v>68</v>
      </c>
      <c r="B1345" s="4" t="s">
        <v>38</v>
      </c>
    </row>
    <row r="1346" spans="1:2" s="114" customFormat="1" x14ac:dyDescent="0.25">
      <c r="A1346" s="4" t="s">
        <v>68</v>
      </c>
      <c r="B1346" s="4" t="s">
        <v>38</v>
      </c>
    </row>
    <row r="1347" spans="1:2" s="114" customFormat="1" x14ac:dyDescent="0.25">
      <c r="A1347" s="4" t="s">
        <v>68</v>
      </c>
      <c r="B1347" s="4" t="s">
        <v>38</v>
      </c>
    </row>
    <row r="1348" spans="1:2" s="114" customFormat="1" x14ac:dyDescent="0.25">
      <c r="A1348" s="4" t="s">
        <v>68</v>
      </c>
      <c r="B1348" s="4" t="s">
        <v>38</v>
      </c>
    </row>
    <row r="1349" spans="1:2" s="114" customFormat="1" x14ac:dyDescent="0.25">
      <c r="A1349" s="4" t="s">
        <v>68</v>
      </c>
      <c r="B1349" s="4" t="s">
        <v>38</v>
      </c>
    </row>
    <row r="1350" spans="1:2" s="114" customFormat="1" x14ac:dyDescent="0.25">
      <c r="A1350" s="4" t="s">
        <v>73</v>
      </c>
      <c r="B1350" s="4" t="s">
        <v>38</v>
      </c>
    </row>
    <row r="1351" spans="1:2" s="114" customFormat="1" x14ac:dyDescent="0.25">
      <c r="A1351" s="4" t="s">
        <v>73</v>
      </c>
      <c r="B1351" s="4" t="s">
        <v>38</v>
      </c>
    </row>
    <row r="1352" spans="1:2" s="114" customFormat="1" x14ac:dyDescent="0.25">
      <c r="A1352" s="4" t="s">
        <v>67</v>
      </c>
      <c r="B1352" s="4" t="s">
        <v>38</v>
      </c>
    </row>
    <row r="1353" spans="1:2" s="114" customFormat="1" x14ac:dyDescent="0.25">
      <c r="A1353" s="4" t="s">
        <v>67</v>
      </c>
      <c r="B1353" s="4" t="s">
        <v>38</v>
      </c>
    </row>
    <row r="1354" spans="1:2" s="114" customFormat="1" x14ac:dyDescent="0.25">
      <c r="A1354" s="4" t="s">
        <v>72</v>
      </c>
      <c r="B1354" s="4" t="s">
        <v>38</v>
      </c>
    </row>
    <row r="1355" spans="1:2" s="114" customFormat="1" x14ac:dyDescent="0.25">
      <c r="A1355" s="4" t="s">
        <v>72</v>
      </c>
      <c r="B1355" s="4" t="s">
        <v>38</v>
      </c>
    </row>
    <row r="1356" spans="1:2" s="114" customFormat="1" x14ac:dyDescent="0.25">
      <c r="A1356" s="4" t="s">
        <v>65</v>
      </c>
      <c r="B1356" s="4" t="s">
        <v>38</v>
      </c>
    </row>
    <row r="1357" spans="1:2" s="114" customFormat="1" x14ac:dyDescent="0.25">
      <c r="A1357" s="4" t="s">
        <v>75</v>
      </c>
      <c r="B1357" s="4" t="s">
        <v>38</v>
      </c>
    </row>
    <row r="1358" spans="1:2" s="114" customFormat="1" x14ac:dyDescent="0.25">
      <c r="A1358" s="4" t="s">
        <v>61</v>
      </c>
      <c r="B1358" s="4" t="s">
        <v>38</v>
      </c>
    </row>
    <row r="1359" spans="1:2" s="114" customFormat="1" x14ac:dyDescent="0.25">
      <c r="A1359" s="4" t="s">
        <v>68</v>
      </c>
      <c r="B1359" s="4" t="s">
        <v>38</v>
      </c>
    </row>
    <row r="1360" spans="1:2" s="114" customFormat="1" x14ac:dyDescent="0.25">
      <c r="A1360" s="4" t="s">
        <v>73</v>
      </c>
      <c r="B1360" s="4" t="s">
        <v>38</v>
      </c>
    </row>
    <row r="1361" spans="1:2" s="114" customFormat="1" x14ac:dyDescent="0.25">
      <c r="A1361" s="4" t="s">
        <v>72</v>
      </c>
      <c r="B1361" s="4" t="s">
        <v>38</v>
      </c>
    </row>
    <row r="1362" spans="1:2" s="114" customFormat="1" x14ac:dyDescent="0.25">
      <c r="A1362" s="4" t="s">
        <v>72</v>
      </c>
      <c r="B1362" s="4" t="s">
        <v>38</v>
      </c>
    </row>
    <row r="1363" spans="1:2" s="114" customFormat="1" x14ac:dyDescent="0.25">
      <c r="A1363" s="4" t="s">
        <v>67</v>
      </c>
      <c r="B1363" s="4" t="s">
        <v>38</v>
      </c>
    </row>
    <row r="1364" spans="1:2" s="114" customFormat="1" x14ac:dyDescent="0.25">
      <c r="A1364" s="4" t="s">
        <v>67</v>
      </c>
      <c r="B1364" s="4" t="s">
        <v>38</v>
      </c>
    </row>
    <row r="1365" spans="1:2" s="114" customFormat="1" x14ac:dyDescent="0.25">
      <c r="A1365" s="4" t="s">
        <v>71</v>
      </c>
      <c r="B1365" s="4" t="s">
        <v>38</v>
      </c>
    </row>
    <row r="1366" spans="1:2" s="114" customFormat="1" x14ac:dyDescent="0.25">
      <c r="A1366" s="4" t="s">
        <v>72</v>
      </c>
      <c r="B1366" s="4" t="s">
        <v>38</v>
      </c>
    </row>
    <row r="1367" spans="1:2" s="114" customFormat="1" x14ac:dyDescent="0.25">
      <c r="A1367" s="4" t="s">
        <v>72</v>
      </c>
      <c r="B1367" s="4" t="s">
        <v>38</v>
      </c>
    </row>
    <row r="1368" spans="1:2" s="114" customFormat="1" x14ac:dyDescent="0.25">
      <c r="A1368" s="4" t="s">
        <v>72</v>
      </c>
      <c r="B1368" s="4" t="s">
        <v>38</v>
      </c>
    </row>
    <row r="1369" spans="1:2" s="114" customFormat="1" x14ac:dyDescent="0.25">
      <c r="A1369" s="4" t="s">
        <v>72</v>
      </c>
      <c r="B1369" s="4" t="s">
        <v>38</v>
      </c>
    </row>
    <row r="1370" spans="1:2" s="114" customFormat="1" x14ac:dyDescent="0.25">
      <c r="A1370" s="4" t="s">
        <v>72</v>
      </c>
      <c r="B1370" s="4" t="s">
        <v>38</v>
      </c>
    </row>
    <row r="1371" spans="1:2" s="114" customFormat="1" x14ac:dyDescent="0.25">
      <c r="A1371" s="4" t="s">
        <v>72</v>
      </c>
      <c r="B1371" s="4" t="s">
        <v>38</v>
      </c>
    </row>
    <row r="1372" spans="1:2" s="114" customFormat="1" x14ac:dyDescent="0.25">
      <c r="A1372" s="4" t="s">
        <v>72</v>
      </c>
      <c r="B1372" s="4" t="s">
        <v>38</v>
      </c>
    </row>
    <row r="1373" spans="1:2" s="114" customFormat="1" x14ac:dyDescent="0.25">
      <c r="A1373" s="4" t="s">
        <v>62</v>
      </c>
      <c r="B1373" s="4" t="s">
        <v>38</v>
      </c>
    </row>
    <row r="1374" spans="1:2" s="114" customFormat="1" x14ac:dyDescent="0.25">
      <c r="A1374" s="4" t="s">
        <v>75</v>
      </c>
      <c r="B1374" s="4" t="s">
        <v>38</v>
      </c>
    </row>
    <row r="1375" spans="1:2" s="114" customFormat="1" x14ac:dyDescent="0.25">
      <c r="A1375" s="4" t="s">
        <v>75</v>
      </c>
      <c r="B1375" s="4" t="s">
        <v>38</v>
      </c>
    </row>
    <row r="1376" spans="1:2" s="114" customFormat="1" x14ac:dyDescent="0.25">
      <c r="A1376" s="4" t="s">
        <v>75</v>
      </c>
      <c r="B1376" s="4" t="s">
        <v>38</v>
      </c>
    </row>
    <row r="1377" spans="1:2" s="114" customFormat="1" x14ac:dyDescent="0.25">
      <c r="A1377" s="4" t="s">
        <v>75</v>
      </c>
      <c r="B1377" s="4" t="s">
        <v>38</v>
      </c>
    </row>
    <row r="1378" spans="1:2" s="114" customFormat="1" x14ac:dyDescent="0.25">
      <c r="A1378" s="4" t="s">
        <v>69</v>
      </c>
      <c r="B1378" s="4" t="s">
        <v>38</v>
      </c>
    </row>
    <row r="1379" spans="1:2" s="114" customFormat="1" x14ac:dyDescent="0.25">
      <c r="A1379" s="4" t="s">
        <v>69</v>
      </c>
      <c r="B1379" s="4" t="s">
        <v>38</v>
      </c>
    </row>
    <row r="1380" spans="1:2" s="114" customFormat="1" x14ac:dyDescent="0.25">
      <c r="A1380" s="4" t="s">
        <v>73</v>
      </c>
      <c r="B1380" s="4" t="s">
        <v>38</v>
      </c>
    </row>
    <row r="1381" spans="1:2" s="114" customFormat="1" x14ac:dyDescent="0.25">
      <c r="A1381" s="4" t="s">
        <v>73</v>
      </c>
      <c r="B1381" s="4" t="s">
        <v>38</v>
      </c>
    </row>
    <row r="1382" spans="1:2" s="114" customFormat="1" x14ac:dyDescent="0.25">
      <c r="A1382" s="4" t="s">
        <v>67</v>
      </c>
      <c r="B1382" s="4" t="s">
        <v>38</v>
      </c>
    </row>
    <row r="1383" spans="1:2" s="114" customFormat="1" x14ac:dyDescent="0.25">
      <c r="A1383" s="4" t="s">
        <v>72</v>
      </c>
      <c r="B1383" s="4" t="s">
        <v>38</v>
      </c>
    </row>
    <row r="1384" spans="1:2" s="114" customFormat="1" x14ac:dyDescent="0.25">
      <c r="A1384" s="4" t="s">
        <v>68</v>
      </c>
      <c r="B1384" s="4" t="s">
        <v>38</v>
      </c>
    </row>
    <row r="1385" spans="1:2" s="114" customFormat="1" x14ac:dyDescent="0.25">
      <c r="A1385" s="4" t="s">
        <v>67</v>
      </c>
      <c r="B1385" s="4" t="s">
        <v>39</v>
      </c>
    </row>
    <row r="1386" spans="1:2" s="114" customFormat="1" x14ac:dyDescent="0.25">
      <c r="A1386" s="4" t="s">
        <v>67</v>
      </c>
      <c r="B1386" s="4" t="s">
        <v>39</v>
      </c>
    </row>
    <row r="1387" spans="1:2" s="114" customFormat="1" x14ac:dyDescent="0.25">
      <c r="A1387" s="4" t="s">
        <v>72</v>
      </c>
      <c r="B1387" s="4" t="s">
        <v>39</v>
      </c>
    </row>
    <row r="1388" spans="1:2" s="114" customFormat="1" x14ac:dyDescent="0.25">
      <c r="A1388" s="4" t="s">
        <v>75</v>
      </c>
      <c r="B1388" s="4" t="s">
        <v>39</v>
      </c>
    </row>
    <row r="1389" spans="1:2" s="114" customFormat="1" x14ac:dyDescent="0.25">
      <c r="A1389" s="4" t="s">
        <v>75</v>
      </c>
      <c r="B1389" s="4" t="s">
        <v>39</v>
      </c>
    </row>
    <row r="1390" spans="1:2" s="114" customFormat="1" x14ac:dyDescent="0.25">
      <c r="A1390" s="4" t="s">
        <v>67</v>
      </c>
      <c r="B1390" s="4" t="s">
        <v>39</v>
      </c>
    </row>
    <row r="1391" spans="1:2" s="114" customFormat="1" x14ac:dyDescent="0.25">
      <c r="A1391" s="4" t="s">
        <v>67</v>
      </c>
      <c r="B1391" s="4" t="s">
        <v>39</v>
      </c>
    </row>
    <row r="1392" spans="1:2" s="114" customFormat="1" x14ac:dyDescent="0.25">
      <c r="A1392" s="4" t="s">
        <v>72</v>
      </c>
      <c r="B1392" s="4" t="s">
        <v>39</v>
      </c>
    </row>
    <row r="1393" spans="1:2" s="114" customFormat="1" x14ac:dyDescent="0.25">
      <c r="A1393" s="4" t="s">
        <v>72</v>
      </c>
      <c r="B1393" s="4" t="s">
        <v>39</v>
      </c>
    </row>
    <row r="1394" spans="1:2" s="114" customFormat="1" x14ac:dyDescent="0.25">
      <c r="A1394" s="4" t="s">
        <v>72</v>
      </c>
      <c r="B1394" s="4" t="s">
        <v>39</v>
      </c>
    </row>
    <row r="1395" spans="1:2" s="114" customFormat="1" x14ac:dyDescent="0.25">
      <c r="A1395" s="4" t="s">
        <v>75</v>
      </c>
      <c r="B1395" s="4" t="s">
        <v>39</v>
      </c>
    </row>
    <row r="1396" spans="1:2" s="114" customFormat="1" x14ac:dyDescent="0.25">
      <c r="A1396" s="4" t="s">
        <v>75</v>
      </c>
      <c r="B1396" s="4" t="s">
        <v>39</v>
      </c>
    </row>
    <row r="1397" spans="1:2" s="114" customFormat="1" x14ac:dyDescent="0.25">
      <c r="A1397" s="4" t="s">
        <v>69</v>
      </c>
      <c r="B1397" s="4" t="s">
        <v>39</v>
      </c>
    </row>
    <row r="1398" spans="1:2" s="114" customFormat="1" x14ac:dyDescent="0.25">
      <c r="A1398" s="4" t="s">
        <v>69</v>
      </c>
      <c r="B1398" s="4" t="s">
        <v>39</v>
      </c>
    </row>
    <row r="1399" spans="1:2" s="114" customFormat="1" x14ac:dyDescent="0.25">
      <c r="A1399" s="4" t="s">
        <v>61</v>
      </c>
      <c r="B1399" s="4" t="s">
        <v>39</v>
      </c>
    </row>
    <row r="1400" spans="1:2" s="114" customFormat="1" x14ac:dyDescent="0.25">
      <c r="A1400" s="4" t="s">
        <v>72</v>
      </c>
      <c r="B1400" s="4" t="s">
        <v>39</v>
      </c>
    </row>
    <row r="1401" spans="1:2" s="114" customFormat="1" x14ac:dyDescent="0.25">
      <c r="A1401" s="4" t="s">
        <v>72</v>
      </c>
      <c r="B1401" s="4" t="s">
        <v>39</v>
      </c>
    </row>
    <row r="1402" spans="1:2" s="114" customFormat="1" x14ac:dyDescent="0.25">
      <c r="A1402" s="4" t="s">
        <v>72</v>
      </c>
      <c r="B1402" s="4" t="s">
        <v>39</v>
      </c>
    </row>
    <row r="1403" spans="1:2" s="114" customFormat="1" x14ac:dyDescent="0.25">
      <c r="A1403" s="4" t="s">
        <v>72</v>
      </c>
      <c r="B1403" s="4" t="s">
        <v>39</v>
      </c>
    </row>
    <row r="1404" spans="1:2" s="114" customFormat="1" x14ac:dyDescent="0.25">
      <c r="A1404" s="4" t="s">
        <v>72</v>
      </c>
      <c r="B1404" s="4" t="s">
        <v>39</v>
      </c>
    </row>
    <row r="1405" spans="1:2" s="114" customFormat="1" x14ac:dyDescent="0.25">
      <c r="A1405" s="4" t="s">
        <v>72</v>
      </c>
      <c r="B1405" s="4" t="s">
        <v>39</v>
      </c>
    </row>
    <row r="1406" spans="1:2" s="114" customFormat="1" x14ac:dyDescent="0.25">
      <c r="A1406" s="4" t="s">
        <v>75</v>
      </c>
      <c r="B1406" s="4" t="s">
        <v>39</v>
      </c>
    </row>
    <row r="1407" spans="1:2" s="114" customFormat="1" x14ac:dyDescent="0.25">
      <c r="A1407" s="4" t="s">
        <v>69</v>
      </c>
      <c r="B1407" s="4" t="s">
        <v>39</v>
      </c>
    </row>
    <row r="1408" spans="1:2" s="114" customFormat="1" x14ac:dyDescent="0.25">
      <c r="A1408" s="4" t="s">
        <v>68</v>
      </c>
      <c r="B1408" s="4" t="s">
        <v>39</v>
      </c>
    </row>
    <row r="1409" spans="1:2" s="114" customFormat="1" x14ac:dyDescent="0.25">
      <c r="A1409" s="4" t="s">
        <v>73</v>
      </c>
      <c r="B1409" s="4" t="s">
        <v>39</v>
      </c>
    </row>
    <row r="1410" spans="1:2" s="114" customFormat="1" x14ac:dyDescent="0.25">
      <c r="A1410" s="4" t="s">
        <v>73</v>
      </c>
      <c r="B1410" s="4" t="s">
        <v>39</v>
      </c>
    </row>
    <row r="1411" spans="1:2" s="114" customFormat="1" x14ac:dyDescent="0.25">
      <c r="A1411" s="4" t="s">
        <v>71</v>
      </c>
      <c r="B1411" s="4" t="s">
        <v>39</v>
      </c>
    </row>
    <row r="1412" spans="1:2" s="114" customFormat="1" x14ac:dyDescent="0.25">
      <c r="A1412" s="4" t="s">
        <v>72</v>
      </c>
      <c r="B1412" s="4" t="s">
        <v>39</v>
      </c>
    </row>
    <row r="1413" spans="1:2" s="114" customFormat="1" x14ac:dyDescent="0.25">
      <c r="A1413" s="4" t="s">
        <v>62</v>
      </c>
      <c r="B1413" s="4" t="s">
        <v>39</v>
      </c>
    </row>
    <row r="1414" spans="1:2" s="114" customFormat="1" x14ac:dyDescent="0.25">
      <c r="A1414" s="4" t="s">
        <v>68</v>
      </c>
      <c r="B1414" s="4" t="s">
        <v>39</v>
      </c>
    </row>
    <row r="1415" spans="1:2" s="114" customFormat="1" x14ac:dyDescent="0.25">
      <c r="A1415" s="4" t="s">
        <v>67</v>
      </c>
      <c r="B1415" s="4" t="s">
        <v>39</v>
      </c>
    </row>
    <row r="1416" spans="1:2" s="114" customFormat="1" x14ac:dyDescent="0.25">
      <c r="A1416" s="4" t="s">
        <v>72</v>
      </c>
      <c r="B1416" s="4" t="s">
        <v>39</v>
      </c>
    </row>
    <row r="1417" spans="1:2" s="114" customFormat="1" x14ac:dyDescent="0.25">
      <c r="A1417" s="4" t="s">
        <v>62</v>
      </c>
      <c r="B1417" s="4" t="s">
        <v>39</v>
      </c>
    </row>
    <row r="1418" spans="1:2" s="114" customFormat="1" x14ac:dyDescent="0.25">
      <c r="A1418" s="4" t="s">
        <v>62</v>
      </c>
      <c r="B1418" s="4" t="s">
        <v>39</v>
      </c>
    </row>
    <row r="1419" spans="1:2" s="114" customFormat="1" x14ac:dyDescent="0.25">
      <c r="A1419" s="4" t="s">
        <v>75</v>
      </c>
      <c r="B1419" s="4" t="s">
        <v>39</v>
      </c>
    </row>
    <row r="1420" spans="1:2" s="114" customFormat="1" x14ac:dyDescent="0.25">
      <c r="A1420" s="4" t="s">
        <v>61</v>
      </c>
      <c r="B1420" s="4" t="s">
        <v>39</v>
      </c>
    </row>
    <row r="1421" spans="1:2" s="114" customFormat="1" x14ac:dyDescent="0.25">
      <c r="A1421" s="4" t="s">
        <v>68</v>
      </c>
      <c r="B1421" s="4" t="s">
        <v>39</v>
      </c>
    </row>
    <row r="1422" spans="1:2" s="114" customFormat="1" x14ac:dyDescent="0.25">
      <c r="A1422" s="4" t="s">
        <v>73</v>
      </c>
      <c r="B1422" s="4" t="s">
        <v>39</v>
      </c>
    </row>
    <row r="1423" spans="1:2" s="114" customFormat="1" x14ac:dyDescent="0.25">
      <c r="A1423" s="4" t="s">
        <v>67</v>
      </c>
      <c r="B1423" s="4" t="s">
        <v>39</v>
      </c>
    </row>
    <row r="1424" spans="1:2" s="114" customFormat="1" x14ac:dyDescent="0.25">
      <c r="A1424" s="4" t="s">
        <v>71</v>
      </c>
      <c r="B1424" s="4" t="s">
        <v>39</v>
      </c>
    </row>
    <row r="1425" spans="1:2" s="114" customFormat="1" x14ac:dyDescent="0.25">
      <c r="A1425" s="4" t="s">
        <v>72</v>
      </c>
      <c r="B1425" s="4" t="s">
        <v>39</v>
      </c>
    </row>
    <row r="1426" spans="1:2" s="114" customFormat="1" x14ac:dyDescent="0.25">
      <c r="A1426" s="4" t="s">
        <v>72</v>
      </c>
      <c r="B1426" s="4" t="s">
        <v>39</v>
      </c>
    </row>
    <row r="1427" spans="1:2" s="114" customFormat="1" x14ac:dyDescent="0.25">
      <c r="A1427" s="4" t="s">
        <v>73</v>
      </c>
      <c r="B1427" s="4" t="s">
        <v>39</v>
      </c>
    </row>
    <row r="1428" spans="1:2" s="114" customFormat="1" x14ac:dyDescent="0.25">
      <c r="A1428" s="4" t="s">
        <v>73</v>
      </c>
      <c r="B1428" s="4" t="s">
        <v>39</v>
      </c>
    </row>
    <row r="1429" spans="1:2" s="114" customFormat="1" x14ac:dyDescent="0.25">
      <c r="A1429" s="4" t="s">
        <v>72</v>
      </c>
      <c r="B1429" s="4" t="s">
        <v>39</v>
      </c>
    </row>
    <row r="1430" spans="1:2" s="114" customFormat="1" x14ac:dyDescent="0.25">
      <c r="A1430" s="4" t="s">
        <v>67</v>
      </c>
      <c r="B1430" s="4" t="s">
        <v>39</v>
      </c>
    </row>
    <row r="1431" spans="1:2" s="114" customFormat="1" x14ac:dyDescent="0.25">
      <c r="A1431" s="4" t="s">
        <v>72</v>
      </c>
      <c r="B1431" s="4" t="s">
        <v>39</v>
      </c>
    </row>
    <row r="1432" spans="1:2" s="114" customFormat="1" x14ac:dyDescent="0.25">
      <c r="A1432" s="4" t="s">
        <v>72</v>
      </c>
      <c r="B1432" s="4" t="s">
        <v>39</v>
      </c>
    </row>
    <row r="1433" spans="1:2" s="114" customFormat="1" x14ac:dyDescent="0.25">
      <c r="A1433" s="4" t="s">
        <v>69</v>
      </c>
      <c r="B1433" s="4" t="s">
        <v>39</v>
      </c>
    </row>
    <row r="1434" spans="1:2" s="114" customFormat="1" x14ac:dyDescent="0.25">
      <c r="A1434" s="4" t="s">
        <v>72</v>
      </c>
      <c r="B1434" s="4" t="s">
        <v>39</v>
      </c>
    </row>
    <row r="1435" spans="1:2" s="114" customFormat="1" x14ac:dyDescent="0.25">
      <c r="A1435" s="4" t="s">
        <v>75</v>
      </c>
      <c r="B1435" s="4" t="s">
        <v>39</v>
      </c>
    </row>
    <row r="1436" spans="1:2" s="114" customFormat="1" x14ac:dyDescent="0.25">
      <c r="A1436" s="4" t="s">
        <v>67</v>
      </c>
      <c r="B1436" s="4" t="s">
        <v>40</v>
      </c>
    </row>
    <row r="1437" spans="1:2" s="114" customFormat="1" x14ac:dyDescent="0.25">
      <c r="A1437" s="4" t="s">
        <v>67</v>
      </c>
      <c r="B1437" s="4" t="s">
        <v>40</v>
      </c>
    </row>
    <row r="1438" spans="1:2" s="114" customFormat="1" x14ac:dyDescent="0.25">
      <c r="A1438" s="4" t="s">
        <v>67</v>
      </c>
      <c r="B1438" s="4" t="s">
        <v>40</v>
      </c>
    </row>
    <row r="1439" spans="1:2" s="114" customFormat="1" x14ac:dyDescent="0.25">
      <c r="A1439" s="4" t="s">
        <v>67</v>
      </c>
      <c r="B1439" s="4" t="s">
        <v>40</v>
      </c>
    </row>
    <row r="1440" spans="1:2" s="114" customFormat="1" x14ac:dyDescent="0.25">
      <c r="A1440" s="4" t="s">
        <v>67</v>
      </c>
      <c r="B1440" s="4" t="s">
        <v>40</v>
      </c>
    </row>
    <row r="1441" spans="1:2" s="114" customFormat="1" x14ac:dyDescent="0.25">
      <c r="A1441" s="4" t="s">
        <v>67</v>
      </c>
      <c r="B1441" s="4" t="s">
        <v>40</v>
      </c>
    </row>
    <row r="1442" spans="1:2" s="114" customFormat="1" x14ac:dyDescent="0.25">
      <c r="A1442" s="4" t="s">
        <v>67</v>
      </c>
      <c r="B1442" s="4" t="s">
        <v>40</v>
      </c>
    </row>
    <row r="1443" spans="1:2" s="114" customFormat="1" x14ac:dyDescent="0.25">
      <c r="A1443" s="4" t="s">
        <v>67</v>
      </c>
      <c r="B1443" s="4" t="s">
        <v>40</v>
      </c>
    </row>
    <row r="1444" spans="1:2" s="114" customFormat="1" x14ac:dyDescent="0.25">
      <c r="A1444" s="4" t="s">
        <v>67</v>
      </c>
      <c r="B1444" s="4" t="s">
        <v>40</v>
      </c>
    </row>
    <row r="1445" spans="1:2" s="114" customFormat="1" x14ac:dyDescent="0.25">
      <c r="A1445" s="4" t="s">
        <v>72</v>
      </c>
      <c r="B1445" s="4" t="s">
        <v>40</v>
      </c>
    </row>
    <row r="1446" spans="1:2" s="114" customFormat="1" x14ac:dyDescent="0.25">
      <c r="A1446" s="4" t="s">
        <v>72</v>
      </c>
      <c r="B1446" s="4" t="s">
        <v>40</v>
      </c>
    </row>
    <row r="1447" spans="1:2" s="114" customFormat="1" x14ac:dyDescent="0.25">
      <c r="A1447" s="4" t="s">
        <v>72</v>
      </c>
      <c r="B1447" s="4" t="s">
        <v>40</v>
      </c>
    </row>
    <row r="1448" spans="1:2" s="114" customFormat="1" x14ac:dyDescent="0.25">
      <c r="A1448" s="4" t="s">
        <v>72</v>
      </c>
      <c r="B1448" s="4" t="s">
        <v>40</v>
      </c>
    </row>
    <row r="1449" spans="1:2" s="114" customFormat="1" x14ac:dyDescent="0.25">
      <c r="A1449" s="4" t="s">
        <v>72</v>
      </c>
      <c r="B1449" s="4" t="s">
        <v>40</v>
      </c>
    </row>
    <row r="1450" spans="1:2" s="114" customFormat="1" x14ac:dyDescent="0.25">
      <c r="A1450" s="4" t="s">
        <v>72</v>
      </c>
      <c r="B1450" s="4" t="s">
        <v>40</v>
      </c>
    </row>
    <row r="1451" spans="1:2" s="114" customFormat="1" x14ac:dyDescent="0.25">
      <c r="A1451" s="4" t="s">
        <v>72</v>
      </c>
      <c r="B1451" s="4" t="s">
        <v>40</v>
      </c>
    </row>
    <row r="1452" spans="1:2" s="114" customFormat="1" x14ac:dyDescent="0.25">
      <c r="A1452" s="4" t="s">
        <v>72</v>
      </c>
      <c r="B1452" s="4" t="s">
        <v>40</v>
      </c>
    </row>
    <row r="1453" spans="1:2" s="114" customFormat="1" x14ac:dyDescent="0.25">
      <c r="A1453" s="4" t="s">
        <v>72</v>
      </c>
      <c r="B1453" s="4" t="s">
        <v>40</v>
      </c>
    </row>
    <row r="1454" spans="1:2" s="114" customFormat="1" x14ac:dyDescent="0.25">
      <c r="A1454" s="4" t="s">
        <v>72</v>
      </c>
      <c r="B1454" s="4" t="s">
        <v>40</v>
      </c>
    </row>
    <row r="1455" spans="1:2" s="114" customFormat="1" x14ac:dyDescent="0.25">
      <c r="A1455" s="4" t="s">
        <v>72</v>
      </c>
      <c r="B1455" s="4" t="s">
        <v>40</v>
      </c>
    </row>
    <row r="1456" spans="1:2" s="114" customFormat="1" x14ac:dyDescent="0.25">
      <c r="A1456" s="4" t="s">
        <v>72</v>
      </c>
      <c r="B1456" s="4" t="s">
        <v>40</v>
      </c>
    </row>
    <row r="1457" spans="1:2" s="114" customFormat="1" x14ac:dyDescent="0.25">
      <c r="A1457" s="4" t="s">
        <v>72</v>
      </c>
      <c r="B1457" s="4" t="s">
        <v>40</v>
      </c>
    </row>
    <row r="1458" spans="1:2" s="114" customFormat="1" x14ac:dyDescent="0.25">
      <c r="A1458" s="4" t="s">
        <v>62</v>
      </c>
      <c r="B1458" s="4" t="s">
        <v>40</v>
      </c>
    </row>
    <row r="1459" spans="1:2" s="114" customFormat="1" x14ac:dyDescent="0.25">
      <c r="A1459" s="4" t="s">
        <v>62</v>
      </c>
      <c r="B1459" s="4" t="s">
        <v>40</v>
      </c>
    </row>
    <row r="1460" spans="1:2" s="114" customFormat="1" x14ac:dyDescent="0.25">
      <c r="A1460" s="4" t="s">
        <v>62</v>
      </c>
      <c r="B1460" s="4" t="s">
        <v>40</v>
      </c>
    </row>
    <row r="1461" spans="1:2" s="114" customFormat="1" x14ac:dyDescent="0.25">
      <c r="A1461" s="4" t="s">
        <v>65</v>
      </c>
      <c r="B1461" s="4" t="s">
        <v>40</v>
      </c>
    </row>
    <row r="1462" spans="1:2" s="114" customFormat="1" x14ac:dyDescent="0.25">
      <c r="A1462" s="4" t="s">
        <v>75</v>
      </c>
      <c r="B1462" s="4" t="s">
        <v>40</v>
      </c>
    </row>
    <row r="1463" spans="1:2" s="114" customFormat="1" x14ac:dyDescent="0.25">
      <c r="A1463" s="4" t="s">
        <v>69</v>
      </c>
      <c r="B1463" s="4" t="s">
        <v>40</v>
      </c>
    </row>
    <row r="1464" spans="1:2" s="114" customFormat="1" x14ac:dyDescent="0.25">
      <c r="A1464" s="4" t="s">
        <v>69</v>
      </c>
      <c r="B1464" s="4" t="s">
        <v>40</v>
      </c>
    </row>
    <row r="1465" spans="1:2" s="114" customFormat="1" x14ac:dyDescent="0.25">
      <c r="A1465" s="4" t="s">
        <v>68</v>
      </c>
      <c r="B1465" s="4" t="s">
        <v>40</v>
      </c>
    </row>
    <row r="1466" spans="1:2" s="114" customFormat="1" x14ac:dyDescent="0.25">
      <c r="A1466" s="4" t="s">
        <v>68</v>
      </c>
      <c r="B1466" s="4" t="s">
        <v>40</v>
      </c>
    </row>
    <row r="1467" spans="1:2" s="114" customFormat="1" x14ac:dyDescent="0.25">
      <c r="A1467" s="4" t="s">
        <v>68</v>
      </c>
      <c r="B1467" s="4" t="s">
        <v>40</v>
      </c>
    </row>
    <row r="1468" spans="1:2" s="114" customFormat="1" x14ac:dyDescent="0.25">
      <c r="A1468" s="4" t="s">
        <v>73</v>
      </c>
      <c r="B1468" s="4" t="s">
        <v>40</v>
      </c>
    </row>
    <row r="1469" spans="1:2" s="114" customFormat="1" x14ac:dyDescent="0.25">
      <c r="A1469" s="4" t="s">
        <v>581</v>
      </c>
      <c r="B1469" s="4" t="s">
        <v>40</v>
      </c>
    </row>
    <row r="1470" spans="1:2" s="114" customFormat="1" x14ac:dyDescent="0.25">
      <c r="A1470" s="4" t="s">
        <v>59</v>
      </c>
      <c r="B1470" s="4" t="s">
        <v>40</v>
      </c>
    </row>
    <row r="1471" spans="1:2" s="114" customFormat="1" x14ac:dyDescent="0.25">
      <c r="A1471" s="4" t="s">
        <v>67</v>
      </c>
      <c r="B1471" s="4" t="s">
        <v>40</v>
      </c>
    </row>
    <row r="1472" spans="1:2" s="114" customFormat="1" x14ac:dyDescent="0.25">
      <c r="A1472" s="4" t="s">
        <v>67</v>
      </c>
      <c r="B1472" s="4" t="s">
        <v>40</v>
      </c>
    </row>
    <row r="1473" spans="1:2" s="114" customFormat="1" x14ac:dyDescent="0.25">
      <c r="A1473" s="4" t="s">
        <v>67</v>
      </c>
      <c r="B1473" s="4" t="s">
        <v>40</v>
      </c>
    </row>
    <row r="1474" spans="1:2" s="114" customFormat="1" x14ac:dyDescent="0.25">
      <c r="A1474" s="4" t="s">
        <v>67</v>
      </c>
      <c r="B1474" s="4" t="s">
        <v>40</v>
      </c>
    </row>
    <row r="1475" spans="1:2" s="114" customFormat="1" x14ac:dyDescent="0.25">
      <c r="A1475" s="4" t="s">
        <v>67</v>
      </c>
      <c r="B1475" s="4" t="s">
        <v>40</v>
      </c>
    </row>
    <row r="1476" spans="1:2" s="114" customFormat="1" x14ac:dyDescent="0.25">
      <c r="A1476" s="4" t="s">
        <v>67</v>
      </c>
      <c r="B1476" s="4" t="s">
        <v>40</v>
      </c>
    </row>
    <row r="1477" spans="1:2" s="114" customFormat="1" x14ac:dyDescent="0.25">
      <c r="A1477" s="4" t="s">
        <v>67</v>
      </c>
      <c r="B1477" s="4" t="s">
        <v>40</v>
      </c>
    </row>
    <row r="1478" spans="1:2" s="114" customFormat="1" x14ac:dyDescent="0.25">
      <c r="A1478" s="4" t="s">
        <v>72</v>
      </c>
      <c r="B1478" s="4" t="s">
        <v>40</v>
      </c>
    </row>
    <row r="1479" spans="1:2" s="114" customFormat="1" x14ac:dyDescent="0.25">
      <c r="A1479" s="4" t="s">
        <v>72</v>
      </c>
      <c r="B1479" s="4" t="s">
        <v>40</v>
      </c>
    </row>
    <row r="1480" spans="1:2" s="114" customFormat="1" x14ac:dyDescent="0.25">
      <c r="A1480" s="4" t="s">
        <v>72</v>
      </c>
      <c r="B1480" s="4" t="s">
        <v>40</v>
      </c>
    </row>
    <row r="1481" spans="1:2" s="114" customFormat="1" x14ac:dyDescent="0.25">
      <c r="A1481" s="4" t="s">
        <v>72</v>
      </c>
      <c r="B1481" s="4" t="s">
        <v>40</v>
      </c>
    </row>
    <row r="1482" spans="1:2" s="114" customFormat="1" x14ac:dyDescent="0.25">
      <c r="A1482" s="4" t="s">
        <v>65</v>
      </c>
      <c r="B1482" s="4" t="s">
        <v>40</v>
      </c>
    </row>
    <row r="1483" spans="1:2" s="114" customFormat="1" x14ac:dyDescent="0.25">
      <c r="A1483" s="4" t="s">
        <v>65</v>
      </c>
      <c r="B1483" s="4" t="s">
        <v>40</v>
      </c>
    </row>
    <row r="1484" spans="1:2" s="114" customFormat="1" x14ac:dyDescent="0.25">
      <c r="A1484" s="4" t="s">
        <v>69</v>
      </c>
      <c r="B1484" s="4" t="s">
        <v>40</v>
      </c>
    </row>
    <row r="1485" spans="1:2" s="114" customFormat="1" x14ac:dyDescent="0.25">
      <c r="A1485" s="4" t="s">
        <v>69</v>
      </c>
      <c r="B1485" s="4" t="s">
        <v>40</v>
      </c>
    </row>
    <row r="1486" spans="1:2" s="114" customFormat="1" x14ac:dyDescent="0.25">
      <c r="A1486" s="4" t="s">
        <v>69</v>
      </c>
      <c r="B1486" s="4" t="s">
        <v>40</v>
      </c>
    </row>
    <row r="1487" spans="1:2" s="114" customFormat="1" x14ac:dyDescent="0.25">
      <c r="A1487" s="4" t="s">
        <v>69</v>
      </c>
      <c r="B1487" s="4" t="s">
        <v>40</v>
      </c>
    </row>
    <row r="1488" spans="1:2" s="114" customFormat="1" x14ac:dyDescent="0.25">
      <c r="A1488" s="4" t="s">
        <v>69</v>
      </c>
      <c r="B1488" s="4" t="s">
        <v>40</v>
      </c>
    </row>
    <row r="1489" spans="1:2" s="114" customFormat="1" x14ac:dyDescent="0.25">
      <c r="A1489" s="4" t="s">
        <v>69</v>
      </c>
      <c r="B1489" s="4" t="s">
        <v>40</v>
      </c>
    </row>
    <row r="1490" spans="1:2" s="114" customFormat="1" x14ac:dyDescent="0.25">
      <c r="A1490" s="4" t="s">
        <v>69</v>
      </c>
      <c r="B1490" s="4" t="s">
        <v>40</v>
      </c>
    </row>
    <row r="1491" spans="1:2" s="114" customFormat="1" x14ac:dyDescent="0.25">
      <c r="A1491" s="4" t="s">
        <v>69</v>
      </c>
      <c r="B1491" s="4" t="s">
        <v>40</v>
      </c>
    </row>
    <row r="1492" spans="1:2" s="114" customFormat="1" x14ac:dyDescent="0.25">
      <c r="A1492" s="4" t="s">
        <v>69</v>
      </c>
      <c r="B1492" s="4" t="s">
        <v>40</v>
      </c>
    </row>
    <row r="1493" spans="1:2" s="114" customFormat="1" x14ac:dyDescent="0.25">
      <c r="A1493" s="4" t="s">
        <v>61</v>
      </c>
      <c r="B1493" s="4" t="s">
        <v>40</v>
      </c>
    </row>
    <row r="1494" spans="1:2" s="114" customFormat="1" x14ac:dyDescent="0.25">
      <c r="A1494" s="4" t="s">
        <v>73</v>
      </c>
      <c r="B1494" s="4" t="s">
        <v>40</v>
      </c>
    </row>
    <row r="1495" spans="1:2" s="114" customFormat="1" x14ac:dyDescent="0.25">
      <c r="A1495" s="4" t="s">
        <v>59</v>
      </c>
      <c r="B1495" s="4" t="s">
        <v>40</v>
      </c>
    </row>
    <row r="1496" spans="1:2" s="114" customFormat="1" x14ac:dyDescent="0.25">
      <c r="A1496" s="4" t="s">
        <v>67</v>
      </c>
      <c r="B1496" s="4" t="s">
        <v>40</v>
      </c>
    </row>
    <row r="1497" spans="1:2" s="114" customFormat="1" x14ac:dyDescent="0.25">
      <c r="A1497" s="4" t="s">
        <v>67</v>
      </c>
      <c r="B1497" s="4" t="s">
        <v>40</v>
      </c>
    </row>
    <row r="1498" spans="1:2" s="114" customFormat="1" x14ac:dyDescent="0.25">
      <c r="A1498" s="4" t="s">
        <v>72</v>
      </c>
      <c r="B1498" s="4" t="s">
        <v>40</v>
      </c>
    </row>
    <row r="1499" spans="1:2" s="114" customFormat="1" x14ac:dyDescent="0.25">
      <c r="A1499" s="4" t="s">
        <v>69</v>
      </c>
      <c r="B1499" s="4" t="s">
        <v>40</v>
      </c>
    </row>
    <row r="1500" spans="1:2" s="114" customFormat="1" x14ac:dyDescent="0.25">
      <c r="A1500" s="4" t="s">
        <v>69</v>
      </c>
      <c r="B1500" s="4" t="s">
        <v>40</v>
      </c>
    </row>
    <row r="1501" spans="1:2" s="114" customFormat="1" x14ac:dyDescent="0.25">
      <c r="A1501" s="4" t="s">
        <v>68</v>
      </c>
      <c r="B1501" s="4" t="s">
        <v>40</v>
      </c>
    </row>
    <row r="1502" spans="1:2" s="114" customFormat="1" x14ac:dyDescent="0.25">
      <c r="A1502" s="4" t="s">
        <v>68</v>
      </c>
      <c r="B1502" s="4" t="s">
        <v>40</v>
      </c>
    </row>
    <row r="1503" spans="1:2" s="114" customFormat="1" x14ac:dyDescent="0.25">
      <c r="A1503" s="4" t="s">
        <v>67</v>
      </c>
      <c r="B1503" s="4" t="s">
        <v>40</v>
      </c>
    </row>
    <row r="1504" spans="1:2" s="114" customFormat="1" x14ac:dyDescent="0.25">
      <c r="A1504" s="4" t="s">
        <v>67</v>
      </c>
      <c r="B1504" s="4" t="s">
        <v>40</v>
      </c>
    </row>
    <row r="1505" spans="1:2" s="114" customFormat="1" x14ac:dyDescent="0.25">
      <c r="A1505" s="4" t="s">
        <v>67</v>
      </c>
      <c r="B1505" s="4" t="s">
        <v>40</v>
      </c>
    </row>
    <row r="1506" spans="1:2" s="114" customFormat="1" x14ac:dyDescent="0.25">
      <c r="A1506" s="4" t="s">
        <v>67</v>
      </c>
      <c r="B1506" s="4" t="s">
        <v>40</v>
      </c>
    </row>
    <row r="1507" spans="1:2" s="114" customFormat="1" x14ac:dyDescent="0.25">
      <c r="A1507" s="4" t="s">
        <v>67</v>
      </c>
      <c r="B1507" s="4" t="s">
        <v>40</v>
      </c>
    </row>
    <row r="1508" spans="1:2" s="114" customFormat="1" x14ac:dyDescent="0.25">
      <c r="A1508" s="4" t="s">
        <v>71</v>
      </c>
      <c r="B1508" s="4" t="s">
        <v>40</v>
      </c>
    </row>
    <row r="1509" spans="1:2" s="114" customFormat="1" x14ac:dyDescent="0.25">
      <c r="A1509" s="4" t="s">
        <v>71</v>
      </c>
      <c r="B1509" s="4" t="s">
        <v>40</v>
      </c>
    </row>
    <row r="1510" spans="1:2" s="114" customFormat="1" x14ac:dyDescent="0.25">
      <c r="A1510" s="4" t="s">
        <v>71</v>
      </c>
      <c r="B1510" s="4" t="s">
        <v>40</v>
      </c>
    </row>
    <row r="1511" spans="1:2" s="114" customFormat="1" x14ac:dyDescent="0.25">
      <c r="A1511" s="4" t="s">
        <v>72</v>
      </c>
      <c r="B1511" s="4" t="s">
        <v>40</v>
      </c>
    </row>
    <row r="1512" spans="1:2" s="114" customFormat="1" x14ac:dyDescent="0.25">
      <c r="A1512" s="4" t="s">
        <v>72</v>
      </c>
      <c r="B1512" s="4" t="s">
        <v>40</v>
      </c>
    </row>
    <row r="1513" spans="1:2" s="114" customFormat="1" x14ac:dyDescent="0.25">
      <c r="A1513" s="4" t="s">
        <v>72</v>
      </c>
      <c r="B1513" s="4" t="s">
        <v>40</v>
      </c>
    </row>
    <row r="1514" spans="1:2" s="114" customFormat="1" x14ac:dyDescent="0.25">
      <c r="A1514" s="4" t="s">
        <v>72</v>
      </c>
      <c r="B1514" s="4" t="s">
        <v>40</v>
      </c>
    </row>
    <row r="1515" spans="1:2" s="114" customFormat="1" x14ac:dyDescent="0.25">
      <c r="A1515" s="4" t="s">
        <v>72</v>
      </c>
      <c r="B1515" s="4" t="s">
        <v>40</v>
      </c>
    </row>
    <row r="1516" spans="1:2" s="114" customFormat="1" x14ac:dyDescent="0.25">
      <c r="A1516" s="4" t="s">
        <v>62</v>
      </c>
      <c r="B1516" s="4" t="s">
        <v>40</v>
      </c>
    </row>
    <row r="1517" spans="1:2" s="114" customFormat="1" x14ac:dyDescent="0.25">
      <c r="A1517" s="4" t="s">
        <v>65</v>
      </c>
      <c r="B1517" s="4" t="s">
        <v>40</v>
      </c>
    </row>
    <row r="1518" spans="1:2" s="114" customFormat="1" x14ac:dyDescent="0.25">
      <c r="A1518" s="4" t="s">
        <v>75</v>
      </c>
      <c r="B1518" s="4" t="s">
        <v>40</v>
      </c>
    </row>
    <row r="1519" spans="1:2" s="114" customFormat="1" x14ac:dyDescent="0.25">
      <c r="A1519" s="4" t="s">
        <v>75</v>
      </c>
      <c r="B1519" s="4" t="s">
        <v>40</v>
      </c>
    </row>
    <row r="1520" spans="1:2" s="114" customFormat="1" x14ac:dyDescent="0.25">
      <c r="A1520" s="4" t="s">
        <v>69</v>
      </c>
      <c r="B1520" s="4" t="s">
        <v>40</v>
      </c>
    </row>
    <row r="1521" spans="1:2" s="114" customFormat="1" x14ac:dyDescent="0.25">
      <c r="A1521" s="4" t="s">
        <v>69</v>
      </c>
      <c r="B1521" s="4" t="s">
        <v>40</v>
      </c>
    </row>
    <row r="1522" spans="1:2" s="114" customFormat="1" x14ac:dyDescent="0.25">
      <c r="A1522" s="4" t="s">
        <v>69</v>
      </c>
      <c r="B1522" s="4" t="s">
        <v>40</v>
      </c>
    </row>
    <row r="1523" spans="1:2" s="114" customFormat="1" x14ac:dyDescent="0.25">
      <c r="A1523" s="4" t="s">
        <v>69</v>
      </c>
      <c r="B1523" s="4" t="s">
        <v>40</v>
      </c>
    </row>
    <row r="1524" spans="1:2" s="114" customFormat="1" x14ac:dyDescent="0.25">
      <c r="A1524" s="4" t="s">
        <v>69</v>
      </c>
      <c r="B1524" s="4" t="s">
        <v>40</v>
      </c>
    </row>
    <row r="1525" spans="1:2" s="114" customFormat="1" x14ac:dyDescent="0.25">
      <c r="A1525" s="4" t="s">
        <v>61</v>
      </c>
      <c r="B1525" s="4" t="s">
        <v>40</v>
      </c>
    </row>
    <row r="1526" spans="1:2" s="114" customFormat="1" x14ac:dyDescent="0.25">
      <c r="A1526" s="4" t="s">
        <v>581</v>
      </c>
      <c r="B1526" s="4" t="s">
        <v>40</v>
      </c>
    </row>
    <row r="1527" spans="1:2" s="114" customFormat="1" x14ac:dyDescent="0.25">
      <c r="A1527" s="4" t="s">
        <v>67</v>
      </c>
      <c r="B1527" s="4" t="s">
        <v>40</v>
      </c>
    </row>
    <row r="1528" spans="1:2" s="114" customFormat="1" x14ac:dyDescent="0.25">
      <c r="A1528" s="4" t="s">
        <v>67</v>
      </c>
      <c r="B1528" s="4" t="s">
        <v>40</v>
      </c>
    </row>
    <row r="1529" spans="1:2" s="114" customFormat="1" x14ac:dyDescent="0.25">
      <c r="A1529" s="4" t="s">
        <v>71</v>
      </c>
      <c r="B1529" s="4" t="s">
        <v>40</v>
      </c>
    </row>
    <row r="1530" spans="1:2" s="114" customFormat="1" x14ac:dyDescent="0.25">
      <c r="A1530" s="4" t="s">
        <v>72</v>
      </c>
      <c r="B1530" s="4" t="s">
        <v>40</v>
      </c>
    </row>
    <row r="1531" spans="1:2" s="114" customFormat="1" x14ac:dyDescent="0.25">
      <c r="A1531" s="4" t="s">
        <v>72</v>
      </c>
      <c r="B1531" s="4" t="s">
        <v>40</v>
      </c>
    </row>
    <row r="1532" spans="1:2" s="114" customFormat="1" x14ac:dyDescent="0.25">
      <c r="A1532" s="4" t="s">
        <v>72</v>
      </c>
      <c r="B1532" s="4" t="s">
        <v>40</v>
      </c>
    </row>
    <row r="1533" spans="1:2" s="114" customFormat="1" x14ac:dyDescent="0.25">
      <c r="A1533" s="4" t="s">
        <v>72</v>
      </c>
      <c r="B1533" s="4" t="s">
        <v>40</v>
      </c>
    </row>
    <row r="1534" spans="1:2" s="114" customFormat="1" x14ac:dyDescent="0.25">
      <c r="A1534" s="4" t="s">
        <v>75</v>
      </c>
      <c r="B1534" s="4" t="s">
        <v>40</v>
      </c>
    </row>
    <row r="1535" spans="1:2" s="114" customFormat="1" x14ac:dyDescent="0.25">
      <c r="A1535" s="4" t="s">
        <v>75</v>
      </c>
      <c r="B1535" s="4" t="s">
        <v>40</v>
      </c>
    </row>
    <row r="1536" spans="1:2" s="114" customFormat="1" x14ac:dyDescent="0.25">
      <c r="A1536" s="4" t="s">
        <v>69</v>
      </c>
      <c r="B1536" s="4" t="s">
        <v>40</v>
      </c>
    </row>
    <row r="1537" spans="1:2" s="114" customFormat="1" x14ac:dyDescent="0.25">
      <c r="A1537" s="4" t="s">
        <v>69</v>
      </c>
      <c r="B1537" s="4" t="s">
        <v>40</v>
      </c>
    </row>
    <row r="1538" spans="1:2" s="114" customFormat="1" x14ac:dyDescent="0.25">
      <c r="A1538" s="4" t="s">
        <v>61</v>
      </c>
      <c r="B1538" s="4" t="s">
        <v>40</v>
      </c>
    </row>
    <row r="1539" spans="1:2" s="114" customFormat="1" x14ac:dyDescent="0.25">
      <c r="A1539" s="4" t="s">
        <v>68</v>
      </c>
      <c r="B1539" s="4" t="s">
        <v>40</v>
      </c>
    </row>
    <row r="1540" spans="1:2" s="114" customFormat="1" x14ac:dyDescent="0.25">
      <c r="A1540" s="4" t="s">
        <v>68</v>
      </c>
      <c r="B1540" s="4" t="s">
        <v>40</v>
      </c>
    </row>
    <row r="1541" spans="1:2" s="114" customFormat="1" x14ac:dyDescent="0.25">
      <c r="A1541" s="4" t="s">
        <v>68</v>
      </c>
      <c r="B1541" s="4" t="s">
        <v>40</v>
      </c>
    </row>
    <row r="1542" spans="1:2" s="114" customFormat="1" x14ac:dyDescent="0.25">
      <c r="A1542" s="4" t="s">
        <v>68</v>
      </c>
      <c r="B1542" s="4" t="s">
        <v>40</v>
      </c>
    </row>
    <row r="1543" spans="1:2" s="114" customFormat="1" x14ac:dyDescent="0.25">
      <c r="A1543" s="4" t="s">
        <v>73</v>
      </c>
      <c r="B1543" s="4" t="s">
        <v>40</v>
      </c>
    </row>
    <row r="1544" spans="1:2" s="114" customFormat="1" x14ac:dyDescent="0.25">
      <c r="A1544" s="4" t="s">
        <v>73</v>
      </c>
      <c r="B1544" s="4" t="s">
        <v>40</v>
      </c>
    </row>
    <row r="1545" spans="1:2" s="114" customFormat="1" x14ac:dyDescent="0.25">
      <c r="A1545" s="4" t="s">
        <v>72</v>
      </c>
      <c r="B1545" s="4" t="s">
        <v>40</v>
      </c>
    </row>
    <row r="1546" spans="1:2" s="114" customFormat="1" x14ac:dyDescent="0.25">
      <c r="A1546" s="4" t="s">
        <v>75</v>
      </c>
      <c r="B1546" s="4" t="s">
        <v>40</v>
      </c>
    </row>
    <row r="1547" spans="1:2" s="114" customFormat="1" x14ac:dyDescent="0.25">
      <c r="A1547" s="4" t="s">
        <v>60</v>
      </c>
      <c r="B1547" s="4" t="s">
        <v>40</v>
      </c>
    </row>
    <row r="1548" spans="1:2" s="114" customFormat="1" x14ac:dyDescent="0.25">
      <c r="A1548" s="4" t="s">
        <v>68</v>
      </c>
      <c r="B1548" s="4" t="s">
        <v>40</v>
      </c>
    </row>
    <row r="1549" spans="1:2" s="114" customFormat="1" x14ac:dyDescent="0.25">
      <c r="A1549" s="4" t="s">
        <v>67</v>
      </c>
      <c r="B1549" s="4" t="s">
        <v>40</v>
      </c>
    </row>
    <row r="1550" spans="1:2" s="114" customFormat="1" x14ac:dyDescent="0.25">
      <c r="A1550" s="4" t="s">
        <v>72</v>
      </c>
      <c r="B1550" s="4" t="s">
        <v>40</v>
      </c>
    </row>
    <row r="1551" spans="1:2" s="114" customFormat="1" x14ac:dyDescent="0.25">
      <c r="A1551" s="4" t="s">
        <v>62</v>
      </c>
      <c r="B1551" s="4" t="s">
        <v>40</v>
      </c>
    </row>
    <row r="1552" spans="1:2" s="114" customFormat="1" x14ac:dyDescent="0.25">
      <c r="A1552" s="4" t="s">
        <v>75</v>
      </c>
      <c r="B1552" s="4" t="s">
        <v>40</v>
      </c>
    </row>
    <row r="1553" spans="1:2" s="114" customFormat="1" x14ac:dyDescent="0.25">
      <c r="A1553" s="4" t="s">
        <v>75</v>
      </c>
      <c r="B1553" s="4" t="s">
        <v>40</v>
      </c>
    </row>
    <row r="1554" spans="1:2" s="114" customFormat="1" x14ac:dyDescent="0.25">
      <c r="A1554" s="4" t="s">
        <v>75</v>
      </c>
      <c r="B1554" s="4" t="s">
        <v>40</v>
      </c>
    </row>
    <row r="1555" spans="1:2" s="114" customFormat="1" x14ac:dyDescent="0.25">
      <c r="A1555" s="4" t="s">
        <v>75</v>
      </c>
      <c r="B1555" s="4" t="s">
        <v>40</v>
      </c>
    </row>
    <row r="1556" spans="1:2" s="114" customFormat="1" x14ac:dyDescent="0.25">
      <c r="A1556" s="4" t="s">
        <v>73</v>
      </c>
      <c r="B1556" s="4" t="s">
        <v>40</v>
      </c>
    </row>
    <row r="1557" spans="1:2" s="114" customFormat="1" x14ac:dyDescent="0.25">
      <c r="A1557" s="4" t="s">
        <v>67</v>
      </c>
      <c r="B1557" s="4" t="s">
        <v>40</v>
      </c>
    </row>
    <row r="1558" spans="1:2" s="114" customFormat="1" x14ac:dyDescent="0.25">
      <c r="A1558" s="4" t="s">
        <v>67</v>
      </c>
      <c r="B1558" s="4" t="s">
        <v>40</v>
      </c>
    </row>
    <row r="1559" spans="1:2" s="114" customFormat="1" x14ac:dyDescent="0.25">
      <c r="A1559" s="4" t="s">
        <v>67</v>
      </c>
      <c r="B1559" s="4" t="s">
        <v>40</v>
      </c>
    </row>
    <row r="1560" spans="1:2" s="114" customFormat="1" x14ac:dyDescent="0.25">
      <c r="A1560" s="4" t="s">
        <v>72</v>
      </c>
      <c r="B1560" s="4" t="s">
        <v>40</v>
      </c>
    </row>
    <row r="1561" spans="1:2" s="114" customFormat="1" x14ac:dyDescent="0.25">
      <c r="A1561" s="4" t="s">
        <v>72</v>
      </c>
      <c r="B1561" s="4" t="s">
        <v>40</v>
      </c>
    </row>
    <row r="1562" spans="1:2" s="114" customFormat="1" x14ac:dyDescent="0.25">
      <c r="A1562" s="4" t="s">
        <v>72</v>
      </c>
      <c r="B1562" s="4" t="s">
        <v>40</v>
      </c>
    </row>
    <row r="1563" spans="1:2" s="114" customFormat="1" x14ac:dyDescent="0.25">
      <c r="A1563" s="4" t="s">
        <v>62</v>
      </c>
      <c r="B1563" s="4" t="s">
        <v>40</v>
      </c>
    </row>
    <row r="1564" spans="1:2" s="114" customFormat="1" x14ac:dyDescent="0.25">
      <c r="A1564" s="4" t="s">
        <v>74</v>
      </c>
      <c r="B1564" s="4" t="s">
        <v>40</v>
      </c>
    </row>
    <row r="1565" spans="1:2" s="114" customFormat="1" x14ac:dyDescent="0.25">
      <c r="A1565" s="4" t="s">
        <v>75</v>
      </c>
      <c r="B1565" s="4" t="s">
        <v>40</v>
      </c>
    </row>
    <row r="1566" spans="1:2" s="114" customFormat="1" x14ac:dyDescent="0.25">
      <c r="A1566" s="4" t="s">
        <v>69</v>
      </c>
      <c r="B1566" s="4" t="s">
        <v>40</v>
      </c>
    </row>
    <row r="1567" spans="1:2" s="114" customFormat="1" x14ac:dyDescent="0.25">
      <c r="A1567" s="4" t="s">
        <v>69</v>
      </c>
      <c r="B1567" s="4" t="s">
        <v>40</v>
      </c>
    </row>
    <row r="1568" spans="1:2" s="114" customFormat="1" x14ac:dyDescent="0.25">
      <c r="A1568" s="4" t="s">
        <v>61</v>
      </c>
      <c r="B1568" s="4" t="s">
        <v>40</v>
      </c>
    </row>
    <row r="1569" spans="1:2" s="114" customFormat="1" x14ac:dyDescent="0.25">
      <c r="A1569" s="4" t="s">
        <v>61</v>
      </c>
      <c r="B1569" s="4" t="s">
        <v>40</v>
      </c>
    </row>
    <row r="1570" spans="1:2" s="114" customFormat="1" x14ac:dyDescent="0.25">
      <c r="A1570" s="4" t="s">
        <v>69</v>
      </c>
      <c r="B1570" s="4" t="s">
        <v>40</v>
      </c>
    </row>
    <row r="1571" spans="1:2" s="114" customFormat="1" x14ac:dyDescent="0.25">
      <c r="A1571" s="4" t="s">
        <v>68</v>
      </c>
      <c r="B1571" s="4" t="s">
        <v>40</v>
      </c>
    </row>
    <row r="1572" spans="1:2" s="114" customFormat="1" x14ac:dyDescent="0.25">
      <c r="A1572" s="4" t="s">
        <v>72</v>
      </c>
      <c r="B1572" s="4" t="s">
        <v>41</v>
      </c>
    </row>
    <row r="1573" spans="1:2" s="114" customFormat="1" x14ac:dyDescent="0.25">
      <c r="A1573" s="4" t="s">
        <v>68</v>
      </c>
      <c r="B1573" s="4" t="s">
        <v>41</v>
      </c>
    </row>
    <row r="1574" spans="1:2" s="114" customFormat="1" x14ac:dyDescent="0.25">
      <c r="A1574" s="4" t="s">
        <v>68</v>
      </c>
      <c r="B1574" s="4" t="s">
        <v>41</v>
      </c>
    </row>
    <row r="1575" spans="1:2" s="114" customFormat="1" x14ac:dyDescent="0.25">
      <c r="A1575" s="4" t="s">
        <v>72</v>
      </c>
      <c r="B1575" s="4" t="s">
        <v>41</v>
      </c>
    </row>
    <row r="1576" spans="1:2" s="114" customFormat="1" x14ac:dyDescent="0.25">
      <c r="A1576" s="4" t="s">
        <v>72</v>
      </c>
      <c r="B1576" s="4" t="s">
        <v>41</v>
      </c>
    </row>
    <row r="1577" spans="1:2" s="114" customFormat="1" x14ac:dyDescent="0.25">
      <c r="A1577" s="4" t="s">
        <v>62</v>
      </c>
      <c r="B1577" s="4" t="s">
        <v>41</v>
      </c>
    </row>
    <row r="1578" spans="1:2" s="114" customFormat="1" x14ac:dyDescent="0.25">
      <c r="A1578" s="4" t="s">
        <v>69</v>
      </c>
      <c r="B1578" s="4" t="s">
        <v>41</v>
      </c>
    </row>
    <row r="1579" spans="1:2" s="114" customFormat="1" x14ac:dyDescent="0.25">
      <c r="A1579" s="4" t="s">
        <v>68</v>
      </c>
      <c r="B1579" s="4" t="s">
        <v>41</v>
      </c>
    </row>
    <row r="1580" spans="1:2" s="114" customFormat="1" x14ac:dyDescent="0.25">
      <c r="A1580" s="4" t="s">
        <v>68</v>
      </c>
      <c r="B1580" s="4" t="s">
        <v>41</v>
      </c>
    </row>
    <row r="1581" spans="1:2" s="114" customFormat="1" x14ac:dyDescent="0.25">
      <c r="A1581" s="4" t="s">
        <v>68</v>
      </c>
      <c r="B1581" s="4" t="s">
        <v>41</v>
      </c>
    </row>
    <row r="1582" spans="1:2" s="114" customFormat="1" x14ac:dyDescent="0.25">
      <c r="A1582" s="4" t="s">
        <v>72</v>
      </c>
      <c r="B1582" s="4" t="s">
        <v>41</v>
      </c>
    </row>
    <row r="1583" spans="1:2" s="114" customFormat="1" x14ac:dyDescent="0.25">
      <c r="A1583" s="4" t="s">
        <v>62</v>
      </c>
      <c r="B1583" s="4" t="s">
        <v>41</v>
      </c>
    </row>
    <row r="1584" spans="1:2" s="114" customFormat="1" x14ac:dyDescent="0.25">
      <c r="A1584" s="4" t="s">
        <v>67</v>
      </c>
      <c r="B1584" s="4" t="s">
        <v>41</v>
      </c>
    </row>
    <row r="1585" spans="1:2" s="114" customFormat="1" x14ac:dyDescent="0.25">
      <c r="A1585" s="4" t="s">
        <v>72</v>
      </c>
      <c r="B1585" s="4" t="s">
        <v>41</v>
      </c>
    </row>
    <row r="1586" spans="1:2" s="114" customFormat="1" x14ac:dyDescent="0.25">
      <c r="A1586" s="4" t="s">
        <v>69</v>
      </c>
      <c r="B1586" s="4" t="s">
        <v>41</v>
      </c>
    </row>
    <row r="1587" spans="1:2" s="114" customFormat="1" x14ac:dyDescent="0.25">
      <c r="A1587" s="4" t="s">
        <v>63</v>
      </c>
      <c r="B1587" s="4" t="s">
        <v>41</v>
      </c>
    </row>
    <row r="1588" spans="1:2" s="114" customFormat="1" x14ac:dyDescent="0.25">
      <c r="A1588" s="4" t="s">
        <v>67</v>
      </c>
      <c r="B1588" s="4" t="s">
        <v>41</v>
      </c>
    </row>
    <row r="1589" spans="1:2" s="114" customFormat="1" x14ac:dyDescent="0.25">
      <c r="A1589" s="4" t="s">
        <v>67</v>
      </c>
      <c r="B1589" s="4" t="s">
        <v>41</v>
      </c>
    </row>
    <row r="1590" spans="1:2" s="114" customFormat="1" x14ac:dyDescent="0.25">
      <c r="A1590" s="4" t="s">
        <v>62</v>
      </c>
      <c r="B1590" s="4" t="s">
        <v>41</v>
      </c>
    </row>
    <row r="1591" spans="1:2" s="114" customFormat="1" x14ac:dyDescent="0.25">
      <c r="A1591" s="4" t="s">
        <v>73</v>
      </c>
      <c r="B1591" s="4" t="s">
        <v>41</v>
      </c>
    </row>
    <row r="1592" spans="1:2" s="114" customFormat="1" x14ac:dyDescent="0.25">
      <c r="A1592" s="4" t="s">
        <v>72</v>
      </c>
      <c r="B1592" s="4" t="s">
        <v>42</v>
      </c>
    </row>
    <row r="1593" spans="1:2" s="114" customFormat="1" x14ac:dyDescent="0.25">
      <c r="A1593" s="4" t="s">
        <v>72</v>
      </c>
      <c r="B1593" s="4" t="s">
        <v>42</v>
      </c>
    </row>
    <row r="1594" spans="1:2" s="114" customFormat="1" x14ac:dyDescent="0.25">
      <c r="A1594" s="4" t="s">
        <v>68</v>
      </c>
      <c r="B1594" s="4" t="s">
        <v>42</v>
      </c>
    </row>
    <row r="1595" spans="1:2" s="114" customFormat="1" x14ac:dyDescent="0.25">
      <c r="A1595" s="4" t="s">
        <v>68</v>
      </c>
      <c r="B1595" s="4" t="s">
        <v>42</v>
      </c>
    </row>
    <row r="1596" spans="1:2" s="114" customFormat="1" x14ac:dyDescent="0.25">
      <c r="A1596" s="4" t="s">
        <v>68</v>
      </c>
      <c r="B1596" s="4" t="s">
        <v>42</v>
      </c>
    </row>
    <row r="1597" spans="1:2" s="114" customFormat="1" x14ac:dyDescent="0.25">
      <c r="A1597" s="4" t="s">
        <v>69</v>
      </c>
      <c r="B1597" s="4" t="s">
        <v>42</v>
      </c>
    </row>
    <row r="1598" spans="1:2" s="114" customFormat="1" x14ac:dyDescent="0.25">
      <c r="A1598" s="4" t="s">
        <v>68</v>
      </c>
      <c r="B1598" s="4" t="s">
        <v>42</v>
      </c>
    </row>
    <row r="1599" spans="1:2" s="114" customFormat="1" x14ac:dyDescent="0.25">
      <c r="A1599" s="4" t="s">
        <v>67</v>
      </c>
      <c r="B1599" s="4" t="s">
        <v>42</v>
      </c>
    </row>
    <row r="1600" spans="1:2" s="114" customFormat="1" x14ac:dyDescent="0.25">
      <c r="A1600" s="4" t="s">
        <v>72</v>
      </c>
      <c r="B1600" s="4" t="s">
        <v>42</v>
      </c>
    </row>
    <row r="1601" spans="1:2" s="114" customFormat="1" x14ac:dyDescent="0.25">
      <c r="A1601" s="4" t="s">
        <v>72</v>
      </c>
      <c r="B1601" s="4" t="s">
        <v>42</v>
      </c>
    </row>
    <row r="1602" spans="1:2" s="114" customFormat="1" x14ac:dyDescent="0.25">
      <c r="A1602" s="4" t="s">
        <v>66</v>
      </c>
      <c r="B1602" s="4" t="s">
        <v>42</v>
      </c>
    </row>
    <row r="1603" spans="1:2" s="114" customFormat="1" x14ac:dyDescent="0.25">
      <c r="A1603" s="4" t="s">
        <v>67</v>
      </c>
      <c r="B1603" s="4" t="s">
        <v>42</v>
      </c>
    </row>
    <row r="1604" spans="1:2" s="114" customFormat="1" x14ac:dyDescent="0.25">
      <c r="A1604" s="4" t="s">
        <v>62</v>
      </c>
      <c r="B1604" s="4" t="s">
        <v>42</v>
      </c>
    </row>
    <row r="1605" spans="1:2" s="114" customFormat="1" x14ac:dyDescent="0.25">
      <c r="A1605" s="4" t="s">
        <v>68</v>
      </c>
      <c r="B1605" s="4" t="s">
        <v>42</v>
      </c>
    </row>
    <row r="1606" spans="1:2" s="114" customFormat="1" x14ac:dyDescent="0.25">
      <c r="A1606" s="4" t="s">
        <v>62</v>
      </c>
      <c r="B1606" s="4" t="s">
        <v>42</v>
      </c>
    </row>
    <row r="1607" spans="1:2" s="114" customFormat="1" x14ac:dyDescent="0.25">
      <c r="A1607" s="4" t="s">
        <v>65</v>
      </c>
      <c r="B1607" s="4" t="s">
        <v>42</v>
      </c>
    </row>
    <row r="1608" spans="1:2" s="114" customFormat="1" x14ac:dyDescent="0.25">
      <c r="A1608" s="4" t="s">
        <v>72</v>
      </c>
      <c r="B1608" s="4" t="s">
        <v>42</v>
      </c>
    </row>
    <row r="1609" spans="1:2" s="114" customFormat="1" x14ac:dyDescent="0.25">
      <c r="A1609" s="4" t="s">
        <v>74</v>
      </c>
      <c r="B1609" s="4" t="s">
        <v>42</v>
      </c>
    </row>
    <row r="1610" spans="1:2" s="114" customFormat="1" x14ac:dyDescent="0.25">
      <c r="A1610" s="4" t="s">
        <v>69</v>
      </c>
      <c r="B1610" s="4" t="s">
        <v>42</v>
      </c>
    </row>
    <row r="1611" spans="1:2" s="114" customFormat="1" x14ac:dyDescent="0.25">
      <c r="A1611" s="4" t="s">
        <v>68</v>
      </c>
      <c r="B1611" s="4" t="s">
        <v>42</v>
      </c>
    </row>
    <row r="1612" spans="1:2" s="114" customFormat="1" x14ac:dyDescent="0.25">
      <c r="A1612" s="4" t="s">
        <v>67</v>
      </c>
      <c r="B1612" s="4" t="s">
        <v>42</v>
      </c>
    </row>
    <row r="1613" spans="1:2" s="114" customFormat="1" x14ac:dyDescent="0.25">
      <c r="A1613" s="4" t="s">
        <v>71</v>
      </c>
      <c r="B1613" s="4" t="s">
        <v>42</v>
      </c>
    </row>
    <row r="1614" spans="1:2" s="114" customFormat="1" x14ac:dyDescent="0.25">
      <c r="A1614" s="4" t="s">
        <v>62</v>
      </c>
      <c r="B1614" s="4" t="s">
        <v>42</v>
      </c>
    </row>
    <row r="1615" spans="1:2" s="114" customFormat="1" x14ac:dyDescent="0.25">
      <c r="A1615" s="4" t="s">
        <v>72</v>
      </c>
      <c r="B1615" s="4" t="s">
        <v>43</v>
      </c>
    </row>
    <row r="1616" spans="1:2" s="114" customFormat="1" x14ac:dyDescent="0.25">
      <c r="A1616" s="4" t="s">
        <v>75</v>
      </c>
      <c r="B1616" s="4" t="s">
        <v>43</v>
      </c>
    </row>
    <row r="1617" spans="1:2" s="114" customFormat="1" x14ac:dyDescent="0.25">
      <c r="A1617" s="4" t="s">
        <v>69</v>
      </c>
      <c r="B1617" s="4" t="s">
        <v>43</v>
      </c>
    </row>
    <row r="1618" spans="1:2" s="114" customFormat="1" x14ac:dyDescent="0.25">
      <c r="A1618" s="4" t="s">
        <v>69</v>
      </c>
      <c r="B1618" s="4" t="s">
        <v>43</v>
      </c>
    </row>
    <row r="1619" spans="1:2" s="114" customFormat="1" x14ac:dyDescent="0.25">
      <c r="A1619" s="4" t="s">
        <v>68</v>
      </c>
      <c r="B1619" s="4" t="s">
        <v>43</v>
      </c>
    </row>
    <row r="1620" spans="1:2" s="114" customFormat="1" x14ac:dyDescent="0.25">
      <c r="A1620" s="4" t="s">
        <v>68</v>
      </c>
      <c r="B1620" s="4" t="s">
        <v>43</v>
      </c>
    </row>
    <row r="1621" spans="1:2" s="114" customFormat="1" x14ac:dyDescent="0.25">
      <c r="A1621" s="4" t="s">
        <v>68</v>
      </c>
      <c r="B1621" s="4" t="s">
        <v>43</v>
      </c>
    </row>
    <row r="1622" spans="1:2" s="114" customFormat="1" x14ac:dyDescent="0.25">
      <c r="A1622" s="4" t="s">
        <v>68</v>
      </c>
      <c r="B1622" s="4" t="s">
        <v>43</v>
      </c>
    </row>
    <row r="1623" spans="1:2" s="114" customFormat="1" x14ac:dyDescent="0.25">
      <c r="A1623" s="4" t="s">
        <v>71</v>
      </c>
      <c r="B1623" s="4" t="s">
        <v>43</v>
      </c>
    </row>
    <row r="1624" spans="1:2" s="114" customFormat="1" x14ac:dyDescent="0.25">
      <c r="A1624" s="4" t="s">
        <v>72</v>
      </c>
      <c r="B1624" s="4" t="s">
        <v>43</v>
      </c>
    </row>
    <row r="1625" spans="1:2" s="114" customFormat="1" x14ac:dyDescent="0.25">
      <c r="A1625" s="4" t="s">
        <v>69</v>
      </c>
      <c r="B1625" s="4" t="s">
        <v>43</v>
      </c>
    </row>
    <row r="1626" spans="1:2" s="114" customFormat="1" x14ac:dyDescent="0.25">
      <c r="A1626" s="4" t="s">
        <v>68</v>
      </c>
      <c r="B1626" s="4" t="s">
        <v>43</v>
      </c>
    </row>
    <row r="1627" spans="1:2" s="114" customFormat="1" x14ac:dyDescent="0.25">
      <c r="A1627" s="4" t="s">
        <v>68</v>
      </c>
      <c r="B1627" s="4" t="s">
        <v>43</v>
      </c>
    </row>
    <row r="1628" spans="1:2" s="114" customFormat="1" x14ac:dyDescent="0.25">
      <c r="A1628" s="4" t="s">
        <v>68</v>
      </c>
      <c r="B1628" s="4" t="s">
        <v>43</v>
      </c>
    </row>
    <row r="1629" spans="1:2" s="114" customFormat="1" x14ac:dyDescent="0.25">
      <c r="A1629" s="4" t="s">
        <v>68</v>
      </c>
      <c r="B1629" s="4" t="s">
        <v>43</v>
      </c>
    </row>
    <row r="1630" spans="1:2" s="114" customFormat="1" x14ac:dyDescent="0.25">
      <c r="A1630" s="4" t="s">
        <v>68</v>
      </c>
      <c r="B1630" s="4" t="s">
        <v>43</v>
      </c>
    </row>
    <row r="1631" spans="1:2" s="114" customFormat="1" x14ac:dyDescent="0.25">
      <c r="A1631" s="4" t="s">
        <v>68</v>
      </c>
      <c r="B1631" s="4" t="s">
        <v>43</v>
      </c>
    </row>
    <row r="1632" spans="1:2" s="114" customFormat="1" x14ac:dyDescent="0.25">
      <c r="A1632" s="4" t="s">
        <v>68</v>
      </c>
      <c r="B1632" s="4" t="s">
        <v>43</v>
      </c>
    </row>
    <row r="1633" spans="1:2" s="114" customFormat="1" x14ac:dyDescent="0.25">
      <c r="A1633" s="4" t="s">
        <v>68</v>
      </c>
      <c r="B1633" s="4" t="s">
        <v>43</v>
      </c>
    </row>
    <row r="1634" spans="1:2" s="114" customFormat="1" x14ac:dyDescent="0.25">
      <c r="A1634" s="4" t="s">
        <v>68</v>
      </c>
      <c r="B1634" s="4" t="s">
        <v>43</v>
      </c>
    </row>
    <row r="1635" spans="1:2" s="114" customFormat="1" x14ac:dyDescent="0.25">
      <c r="A1635" s="4" t="s">
        <v>68</v>
      </c>
      <c r="B1635" s="4" t="s">
        <v>43</v>
      </c>
    </row>
    <row r="1636" spans="1:2" s="114" customFormat="1" x14ac:dyDescent="0.25">
      <c r="A1636" s="4" t="s">
        <v>68</v>
      </c>
      <c r="B1636" s="4" t="s">
        <v>43</v>
      </c>
    </row>
    <row r="1637" spans="1:2" s="114" customFormat="1" x14ac:dyDescent="0.25">
      <c r="A1637" s="4" t="s">
        <v>68</v>
      </c>
      <c r="B1637" s="4" t="s">
        <v>43</v>
      </c>
    </row>
    <row r="1638" spans="1:2" s="114" customFormat="1" x14ac:dyDescent="0.25">
      <c r="A1638" s="4" t="s">
        <v>68</v>
      </c>
      <c r="B1638" s="4" t="s">
        <v>43</v>
      </c>
    </row>
    <row r="1639" spans="1:2" s="114" customFormat="1" x14ac:dyDescent="0.25">
      <c r="A1639" s="4" t="s">
        <v>68</v>
      </c>
      <c r="B1639" s="4" t="s">
        <v>43</v>
      </c>
    </row>
    <row r="1640" spans="1:2" s="114" customFormat="1" x14ac:dyDescent="0.25">
      <c r="A1640" s="4" t="s">
        <v>73</v>
      </c>
      <c r="B1640" s="4" t="s">
        <v>43</v>
      </c>
    </row>
    <row r="1641" spans="1:2" s="114" customFormat="1" x14ac:dyDescent="0.25">
      <c r="A1641" s="4" t="s">
        <v>67</v>
      </c>
      <c r="B1641" s="4" t="s">
        <v>43</v>
      </c>
    </row>
    <row r="1642" spans="1:2" s="114" customFormat="1" x14ac:dyDescent="0.25">
      <c r="A1642" s="4" t="s">
        <v>67</v>
      </c>
      <c r="B1642" s="4" t="s">
        <v>43</v>
      </c>
    </row>
    <row r="1643" spans="1:2" s="114" customFormat="1" x14ac:dyDescent="0.25">
      <c r="A1643" s="4" t="s">
        <v>67</v>
      </c>
      <c r="B1643" s="4" t="s">
        <v>43</v>
      </c>
    </row>
    <row r="1644" spans="1:2" s="114" customFormat="1" x14ac:dyDescent="0.25">
      <c r="A1644" s="4" t="s">
        <v>71</v>
      </c>
      <c r="B1644" s="4" t="s">
        <v>43</v>
      </c>
    </row>
    <row r="1645" spans="1:2" s="114" customFormat="1" x14ac:dyDescent="0.25">
      <c r="A1645" s="4" t="s">
        <v>72</v>
      </c>
      <c r="B1645" s="4" t="s">
        <v>43</v>
      </c>
    </row>
    <row r="1646" spans="1:2" s="114" customFormat="1" x14ac:dyDescent="0.25">
      <c r="A1646" s="4" t="s">
        <v>68</v>
      </c>
      <c r="B1646" s="4" t="s">
        <v>43</v>
      </c>
    </row>
    <row r="1647" spans="1:2" s="114" customFormat="1" x14ac:dyDescent="0.25">
      <c r="A1647" s="4" t="s">
        <v>68</v>
      </c>
      <c r="B1647" s="4" t="s">
        <v>43</v>
      </c>
    </row>
    <row r="1648" spans="1:2" s="114" customFormat="1" x14ac:dyDescent="0.25">
      <c r="A1648" s="4" t="s">
        <v>68</v>
      </c>
      <c r="B1648" s="4" t="s">
        <v>43</v>
      </c>
    </row>
    <row r="1649" spans="1:2" s="114" customFormat="1" x14ac:dyDescent="0.25">
      <c r="A1649" s="4" t="s">
        <v>68</v>
      </c>
      <c r="B1649" s="4" t="s">
        <v>43</v>
      </c>
    </row>
    <row r="1650" spans="1:2" s="114" customFormat="1" x14ac:dyDescent="0.25">
      <c r="A1650" s="4" t="s">
        <v>68</v>
      </c>
      <c r="B1650" s="4" t="s">
        <v>43</v>
      </c>
    </row>
    <row r="1651" spans="1:2" s="114" customFormat="1" x14ac:dyDescent="0.25">
      <c r="A1651" s="4" t="s">
        <v>68</v>
      </c>
      <c r="B1651" s="4" t="s">
        <v>43</v>
      </c>
    </row>
    <row r="1652" spans="1:2" s="114" customFormat="1" x14ac:dyDescent="0.25">
      <c r="A1652" s="4" t="s">
        <v>68</v>
      </c>
      <c r="B1652" s="4" t="s">
        <v>43</v>
      </c>
    </row>
    <row r="1653" spans="1:2" s="114" customFormat="1" x14ac:dyDescent="0.25">
      <c r="A1653" s="4" t="s">
        <v>68</v>
      </c>
      <c r="B1653" s="4" t="s">
        <v>43</v>
      </c>
    </row>
    <row r="1654" spans="1:2" s="114" customFormat="1" x14ac:dyDescent="0.25">
      <c r="A1654" s="4" t="s">
        <v>68</v>
      </c>
      <c r="B1654" s="4" t="s">
        <v>43</v>
      </c>
    </row>
    <row r="1655" spans="1:2" s="114" customFormat="1" x14ac:dyDescent="0.25">
      <c r="A1655" s="4" t="s">
        <v>68</v>
      </c>
      <c r="B1655" s="4" t="s">
        <v>43</v>
      </c>
    </row>
    <row r="1656" spans="1:2" s="114" customFormat="1" x14ac:dyDescent="0.25">
      <c r="A1656" s="4" t="s">
        <v>68</v>
      </c>
      <c r="B1656" s="4" t="s">
        <v>43</v>
      </c>
    </row>
    <row r="1657" spans="1:2" s="114" customFormat="1" x14ac:dyDescent="0.25">
      <c r="A1657" s="4" t="s">
        <v>68</v>
      </c>
      <c r="B1657" s="4" t="s">
        <v>43</v>
      </c>
    </row>
    <row r="1658" spans="1:2" s="114" customFormat="1" x14ac:dyDescent="0.25">
      <c r="A1658" s="4" t="s">
        <v>68</v>
      </c>
      <c r="B1658" s="4" t="s">
        <v>43</v>
      </c>
    </row>
    <row r="1659" spans="1:2" s="114" customFormat="1" x14ac:dyDescent="0.25">
      <c r="A1659" s="4" t="s">
        <v>68</v>
      </c>
      <c r="B1659" s="4" t="s">
        <v>43</v>
      </c>
    </row>
    <row r="1660" spans="1:2" s="114" customFormat="1" x14ac:dyDescent="0.25">
      <c r="A1660" s="4" t="s">
        <v>68</v>
      </c>
      <c r="B1660" s="4" t="s">
        <v>43</v>
      </c>
    </row>
    <row r="1661" spans="1:2" s="114" customFormat="1" x14ac:dyDescent="0.25">
      <c r="A1661" s="4" t="s">
        <v>68</v>
      </c>
      <c r="B1661" s="4" t="s">
        <v>43</v>
      </c>
    </row>
    <row r="1662" spans="1:2" s="114" customFormat="1" x14ac:dyDescent="0.25">
      <c r="A1662" s="4" t="s">
        <v>68</v>
      </c>
      <c r="B1662" s="4" t="s">
        <v>43</v>
      </c>
    </row>
    <row r="1663" spans="1:2" s="114" customFormat="1" x14ac:dyDescent="0.25">
      <c r="A1663" s="4" t="s">
        <v>68</v>
      </c>
      <c r="B1663" s="4" t="s">
        <v>43</v>
      </c>
    </row>
    <row r="1664" spans="1:2" s="114" customFormat="1" x14ac:dyDescent="0.25">
      <c r="A1664" s="4" t="s">
        <v>68</v>
      </c>
      <c r="B1664" s="4" t="s">
        <v>43</v>
      </c>
    </row>
    <row r="1665" spans="1:2" s="114" customFormat="1" x14ac:dyDescent="0.25">
      <c r="A1665" s="4" t="s">
        <v>67</v>
      </c>
      <c r="B1665" s="4" t="s">
        <v>43</v>
      </c>
    </row>
    <row r="1666" spans="1:2" s="114" customFormat="1" x14ac:dyDescent="0.25">
      <c r="A1666" s="4" t="s">
        <v>68</v>
      </c>
      <c r="B1666" s="4" t="s">
        <v>43</v>
      </c>
    </row>
    <row r="1667" spans="1:2" s="114" customFormat="1" x14ac:dyDescent="0.25">
      <c r="A1667" s="4" t="s">
        <v>68</v>
      </c>
      <c r="B1667" s="4" t="s">
        <v>43</v>
      </c>
    </row>
    <row r="1668" spans="1:2" s="114" customFormat="1" x14ac:dyDescent="0.25">
      <c r="A1668" s="4" t="s">
        <v>68</v>
      </c>
      <c r="B1668" s="4" t="s">
        <v>43</v>
      </c>
    </row>
    <row r="1669" spans="1:2" s="114" customFormat="1" x14ac:dyDescent="0.25">
      <c r="A1669" s="4" t="s">
        <v>68</v>
      </c>
      <c r="B1669" s="4" t="s">
        <v>43</v>
      </c>
    </row>
    <row r="1670" spans="1:2" s="114" customFormat="1" x14ac:dyDescent="0.25">
      <c r="A1670" s="4" t="s">
        <v>68</v>
      </c>
      <c r="B1670" s="4" t="s">
        <v>43</v>
      </c>
    </row>
    <row r="1671" spans="1:2" s="114" customFormat="1" x14ac:dyDescent="0.25">
      <c r="A1671" s="4" t="s">
        <v>72</v>
      </c>
      <c r="B1671" s="4" t="s">
        <v>43</v>
      </c>
    </row>
    <row r="1672" spans="1:2" s="114" customFormat="1" x14ac:dyDescent="0.25">
      <c r="A1672" s="4" t="s">
        <v>62</v>
      </c>
      <c r="B1672" s="4" t="s">
        <v>43</v>
      </c>
    </row>
    <row r="1673" spans="1:2" s="114" customFormat="1" x14ac:dyDescent="0.25">
      <c r="A1673" s="4" t="s">
        <v>74</v>
      </c>
      <c r="B1673" s="4" t="s">
        <v>43</v>
      </c>
    </row>
    <row r="1674" spans="1:2" s="114" customFormat="1" x14ac:dyDescent="0.25">
      <c r="A1674" s="4" t="s">
        <v>69</v>
      </c>
      <c r="B1674" s="4" t="s">
        <v>43</v>
      </c>
    </row>
    <row r="1675" spans="1:2" s="114" customFormat="1" x14ac:dyDescent="0.25">
      <c r="A1675" s="4" t="s">
        <v>60</v>
      </c>
      <c r="B1675" s="4" t="s">
        <v>43</v>
      </c>
    </row>
    <row r="1676" spans="1:2" s="114" customFormat="1" x14ac:dyDescent="0.25">
      <c r="A1676" s="4" t="s">
        <v>67</v>
      </c>
      <c r="B1676" s="4" t="s">
        <v>43</v>
      </c>
    </row>
    <row r="1677" spans="1:2" s="114" customFormat="1" x14ac:dyDescent="0.25">
      <c r="A1677" s="4" t="s">
        <v>67</v>
      </c>
      <c r="B1677" s="4" t="s">
        <v>43</v>
      </c>
    </row>
    <row r="1678" spans="1:2" s="114" customFormat="1" x14ac:dyDescent="0.25">
      <c r="A1678" s="4" t="s">
        <v>72</v>
      </c>
      <c r="B1678" s="4" t="s">
        <v>43</v>
      </c>
    </row>
    <row r="1679" spans="1:2" s="114" customFormat="1" x14ac:dyDescent="0.25">
      <c r="A1679" s="4" t="s">
        <v>61</v>
      </c>
      <c r="B1679" s="4" t="s">
        <v>43</v>
      </c>
    </row>
    <row r="1680" spans="1:2" s="114" customFormat="1" x14ac:dyDescent="0.25">
      <c r="A1680" s="4" t="s">
        <v>60</v>
      </c>
      <c r="B1680" s="4" t="s">
        <v>43</v>
      </c>
    </row>
    <row r="1681" spans="1:2" s="114" customFormat="1" x14ac:dyDescent="0.25">
      <c r="A1681" s="4" t="s">
        <v>68</v>
      </c>
      <c r="B1681" s="4" t="s">
        <v>43</v>
      </c>
    </row>
    <row r="1682" spans="1:2" s="114" customFormat="1" x14ac:dyDescent="0.25">
      <c r="A1682" s="4" t="s">
        <v>68</v>
      </c>
      <c r="B1682" s="4" t="s">
        <v>43</v>
      </c>
    </row>
    <row r="1683" spans="1:2" s="114" customFormat="1" x14ac:dyDescent="0.25">
      <c r="A1683" s="4" t="s">
        <v>67</v>
      </c>
      <c r="B1683" s="4" t="s">
        <v>43</v>
      </c>
    </row>
    <row r="1684" spans="1:2" s="114" customFormat="1" x14ac:dyDescent="0.25">
      <c r="A1684" s="4" t="s">
        <v>67</v>
      </c>
      <c r="B1684" s="4" t="s">
        <v>43</v>
      </c>
    </row>
    <row r="1685" spans="1:2" s="114" customFormat="1" x14ac:dyDescent="0.25">
      <c r="A1685" s="4" t="s">
        <v>67</v>
      </c>
      <c r="B1685" s="4" t="s">
        <v>43</v>
      </c>
    </row>
    <row r="1686" spans="1:2" s="114" customFormat="1" x14ac:dyDescent="0.25">
      <c r="A1686" s="4" t="s">
        <v>67</v>
      </c>
      <c r="B1686" s="4" t="s">
        <v>43</v>
      </c>
    </row>
    <row r="1687" spans="1:2" s="114" customFormat="1" x14ac:dyDescent="0.25">
      <c r="A1687" s="4" t="s">
        <v>69</v>
      </c>
      <c r="B1687" s="4" t="s">
        <v>43</v>
      </c>
    </row>
    <row r="1688" spans="1:2" s="114" customFormat="1" x14ac:dyDescent="0.25">
      <c r="A1688" s="4" t="s">
        <v>69</v>
      </c>
      <c r="B1688" s="4" t="s">
        <v>43</v>
      </c>
    </row>
    <row r="1689" spans="1:2" s="114" customFormat="1" x14ac:dyDescent="0.25">
      <c r="A1689" s="4" t="s">
        <v>68</v>
      </c>
      <c r="B1689" s="4" t="s">
        <v>43</v>
      </c>
    </row>
    <row r="1690" spans="1:2" s="114" customFormat="1" x14ac:dyDescent="0.25">
      <c r="A1690" s="4" t="s">
        <v>68</v>
      </c>
      <c r="B1690" s="4" t="s">
        <v>43</v>
      </c>
    </row>
    <row r="1691" spans="1:2" s="114" customFormat="1" x14ac:dyDescent="0.25">
      <c r="A1691" s="4" t="s">
        <v>68</v>
      </c>
      <c r="B1691" s="4" t="s">
        <v>43</v>
      </c>
    </row>
    <row r="1692" spans="1:2" s="114" customFormat="1" x14ac:dyDescent="0.25">
      <c r="A1692" s="4" t="s">
        <v>67</v>
      </c>
      <c r="B1692" s="4" t="s">
        <v>43</v>
      </c>
    </row>
    <row r="1693" spans="1:2" s="114" customFormat="1" x14ac:dyDescent="0.25">
      <c r="A1693" s="4" t="s">
        <v>68</v>
      </c>
      <c r="B1693" s="4" t="s">
        <v>43</v>
      </c>
    </row>
    <row r="1694" spans="1:2" s="114" customFormat="1" x14ac:dyDescent="0.25">
      <c r="A1694" s="4" t="s">
        <v>67</v>
      </c>
      <c r="B1694" s="4" t="s">
        <v>43</v>
      </c>
    </row>
    <row r="1695" spans="1:2" s="114" customFormat="1" x14ac:dyDescent="0.25">
      <c r="A1695" s="4" t="s">
        <v>72</v>
      </c>
      <c r="B1695" s="4" t="s">
        <v>43</v>
      </c>
    </row>
    <row r="1696" spans="1:2" s="114" customFormat="1" x14ac:dyDescent="0.25">
      <c r="A1696" s="4" t="s">
        <v>75</v>
      </c>
      <c r="B1696" s="4" t="s">
        <v>43</v>
      </c>
    </row>
    <row r="1697" spans="1:2" s="114" customFormat="1" x14ac:dyDescent="0.25">
      <c r="A1697" s="4" t="s">
        <v>75</v>
      </c>
      <c r="B1697" s="4" t="s">
        <v>43</v>
      </c>
    </row>
    <row r="1698" spans="1:2" s="114" customFormat="1" x14ac:dyDescent="0.25">
      <c r="A1698" s="4" t="s">
        <v>75</v>
      </c>
      <c r="B1698" s="4" t="s">
        <v>43</v>
      </c>
    </row>
    <row r="1699" spans="1:2" s="114" customFormat="1" x14ac:dyDescent="0.25">
      <c r="A1699" s="4" t="s">
        <v>61</v>
      </c>
      <c r="B1699" s="4" t="s">
        <v>43</v>
      </c>
    </row>
    <row r="1700" spans="1:2" s="114" customFormat="1" x14ac:dyDescent="0.25">
      <c r="A1700" s="4" t="s">
        <v>75</v>
      </c>
      <c r="B1700" s="4" t="s">
        <v>44</v>
      </c>
    </row>
    <row r="1701" spans="1:2" s="114" customFormat="1" x14ac:dyDescent="0.25">
      <c r="A1701" s="4" t="s">
        <v>69</v>
      </c>
      <c r="B1701" s="4" t="s">
        <v>44</v>
      </c>
    </row>
    <row r="1702" spans="1:2" s="114" customFormat="1" x14ac:dyDescent="0.25">
      <c r="A1702" s="4" t="s">
        <v>68</v>
      </c>
      <c r="B1702" s="4" t="s">
        <v>44</v>
      </c>
    </row>
    <row r="1703" spans="1:2" s="114" customFormat="1" x14ac:dyDescent="0.25">
      <c r="A1703" s="4" t="s">
        <v>72</v>
      </c>
      <c r="B1703" s="4" t="s">
        <v>44</v>
      </c>
    </row>
    <row r="1704" spans="1:2" s="114" customFormat="1" x14ac:dyDescent="0.25">
      <c r="A1704" s="4" t="s">
        <v>72</v>
      </c>
      <c r="B1704" s="4" t="s">
        <v>44</v>
      </c>
    </row>
    <row r="1705" spans="1:2" s="114" customFormat="1" x14ac:dyDescent="0.25">
      <c r="A1705" s="4" t="s">
        <v>69</v>
      </c>
      <c r="B1705" s="4" t="s">
        <v>44</v>
      </c>
    </row>
    <row r="1706" spans="1:2" s="114" customFormat="1" x14ac:dyDescent="0.25">
      <c r="A1706" s="4" t="s">
        <v>68</v>
      </c>
      <c r="B1706" s="4" t="s">
        <v>44</v>
      </c>
    </row>
    <row r="1707" spans="1:2" s="114" customFormat="1" x14ac:dyDescent="0.25">
      <c r="A1707" s="4" t="s">
        <v>68</v>
      </c>
      <c r="B1707" s="4" t="s">
        <v>44</v>
      </c>
    </row>
    <row r="1708" spans="1:2" s="114" customFormat="1" x14ac:dyDescent="0.25">
      <c r="A1708" s="4" t="s">
        <v>72</v>
      </c>
      <c r="B1708" s="4" t="s">
        <v>44</v>
      </c>
    </row>
    <row r="1709" spans="1:2" s="114" customFormat="1" x14ac:dyDescent="0.25">
      <c r="A1709" s="4" t="s">
        <v>68</v>
      </c>
      <c r="B1709" s="4" t="s">
        <v>44</v>
      </c>
    </row>
    <row r="1710" spans="1:2" s="114" customFormat="1" x14ac:dyDescent="0.25">
      <c r="A1710" s="4" t="s">
        <v>68</v>
      </c>
      <c r="B1710" s="4" t="s">
        <v>44</v>
      </c>
    </row>
    <row r="1711" spans="1:2" s="114" customFormat="1" x14ac:dyDescent="0.25">
      <c r="A1711" s="4" t="s">
        <v>68</v>
      </c>
      <c r="B1711" s="4" t="s">
        <v>44</v>
      </c>
    </row>
    <row r="1712" spans="1:2" s="114" customFormat="1" x14ac:dyDescent="0.25">
      <c r="A1712" s="4" t="s">
        <v>68</v>
      </c>
      <c r="B1712" s="4" t="s">
        <v>44</v>
      </c>
    </row>
    <row r="1713" spans="1:2" s="114" customFormat="1" x14ac:dyDescent="0.25">
      <c r="A1713" s="4" t="s">
        <v>75</v>
      </c>
      <c r="B1713" s="4" t="s">
        <v>44</v>
      </c>
    </row>
    <row r="1714" spans="1:2" s="114" customFormat="1" x14ac:dyDescent="0.25">
      <c r="A1714" s="4" t="s">
        <v>69</v>
      </c>
      <c r="B1714" s="4" t="s">
        <v>44</v>
      </c>
    </row>
    <row r="1715" spans="1:2" s="114" customFormat="1" x14ac:dyDescent="0.25">
      <c r="A1715" s="4" t="s">
        <v>68</v>
      </c>
      <c r="B1715" s="4" t="s">
        <v>44</v>
      </c>
    </row>
    <row r="1716" spans="1:2" s="114" customFormat="1" x14ac:dyDescent="0.25">
      <c r="A1716" s="4" t="s">
        <v>72</v>
      </c>
      <c r="B1716" s="4" t="s">
        <v>44</v>
      </c>
    </row>
    <row r="1717" spans="1:2" s="114" customFormat="1" x14ac:dyDescent="0.25">
      <c r="A1717" s="4" t="s">
        <v>68</v>
      </c>
      <c r="B1717" s="4" t="s">
        <v>44</v>
      </c>
    </row>
    <row r="1718" spans="1:2" s="114" customFormat="1" x14ac:dyDescent="0.25">
      <c r="A1718" s="4" t="s">
        <v>67</v>
      </c>
      <c r="B1718" s="4" t="s">
        <v>45</v>
      </c>
    </row>
    <row r="1719" spans="1:2" s="114" customFormat="1" x14ac:dyDescent="0.25">
      <c r="A1719" s="4" t="s">
        <v>65</v>
      </c>
      <c r="B1719" s="4" t="s">
        <v>45</v>
      </c>
    </row>
    <row r="1720" spans="1:2" s="114" customFormat="1" x14ac:dyDescent="0.25">
      <c r="A1720" s="4" t="s">
        <v>69</v>
      </c>
      <c r="B1720" s="4" t="s">
        <v>45</v>
      </c>
    </row>
    <row r="1721" spans="1:2" s="114" customFormat="1" x14ac:dyDescent="0.25">
      <c r="A1721" s="4" t="s">
        <v>72</v>
      </c>
      <c r="B1721" s="4" t="s">
        <v>45</v>
      </c>
    </row>
    <row r="1722" spans="1:2" s="114" customFormat="1" x14ac:dyDescent="0.25">
      <c r="A1722" s="4" t="s">
        <v>72</v>
      </c>
      <c r="B1722" s="4" t="s">
        <v>45</v>
      </c>
    </row>
    <row r="1723" spans="1:2" s="114" customFormat="1" x14ac:dyDescent="0.25">
      <c r="A1723" s="4" t="s">
        <v>75</v>
      </c>
      <c r="B1723" s="4" t="s">
        <v>45</v>
      </c>
    </row>
    <row r="1724" spans="1:2" s="114" customFormat="1" x14ac:dyDescent="0.25">
      <c r="A1724" s="4" t="s">
        <v>75</v>
      </c>
      <c r="B1724" s="4" t="s">
        <v>45</v>
      </c>
    </row>
    <row r="1725" spans="1:2" s="114" customFormat="1" x14ac:dyDescent="0.25">
      <c r="A1725" s="4" t="s">
        <v>69</v>
      </c>
      <c r="B1725" s="4" t="s">
        <v>45</v>
      </c>
    </row>
    <row r="1726" spans="1:2" s="114" customFormat="1" x14ac:dyDescent="0.25">
      <c r="A1726" s="4" t="s">
        <v>69</v>
      </c>
      <c r="B1726" s="4" t="s">
        <v>45</v>
      </c>
    </row>
    <row r="1727" spans="1:2" s="114" customFormat="1" x14ac:dyDescent="0.25">
      <c r="A1727" s="4" t="s">
        <v>69</v>
      </c>
      <c r="B1727" s="4" t="s">
        <v>45</v>
      </c>
    </row>
    <row r="1728" spans="1:2" s="114" customFormat="1" x14ac:dyDescent="0.25">
      <c r="A1728" s="4" t="s">
        <v>71</v>
      </c>
      <c r="B1728" s="4" t="s">
        <v>45</v>
      </c>
    </row>
    <row r="1729" spans="1:2" s="114" customFormat="1" x14ac:dyDescent="0.25">
      <c r="A1729" s="4" t="s">
        <v>75</v>
      </c>
      <c r="B1729" s="4" t="s">
        <v>45</v>
      </c>
    </row>
    <row r="1730" spans="1:2" s="114" customFormat="1" x14ac:dyDescent="0.25">
      <c r="A1730" s="4" t="s">
        <v>75</v>
      </c>
      <c r="B1730" s="4" t="s">
        <v>45</v>
      </c>
    </row>
    <row r="1731" spans="1:2" s="114" customFormat="1" x14ac:dyDescent="0.25">
      <c r="A1731" s="4" t="s">
        <v>69</v>
      </c>
      <c r="B1731" s="4" t="s">
        <v>45</v>
      </c>
    </row>
    <row r="1732" spans="1:2" s="114" customFormat="1" x14ac:dyDescent="0.25">
      <c r="A1732" s="4" t="s">
        <v>69</v>
      </c>
      <c r="B1732" s="4" t="s">
        <v>45</v>
      </c>
    </row>
    <row r="1733" spans="1:2" s="114" customFormat="1" x14ac:dyDescent="0.25">
      <c r="A1733" s="4" t="s">
        <v>69</v>
      </c>
      <c r="B1733" s="4" t="s">
        <v>45</v>
      </c>
    </row>
    <row r="1734" spans="1:2" s="114" customFormat="1" x14ac:dyDescent="0.25">
      <c r="A1734" s="4" t="s">
        <v>68</v>
      </c>
      <c r="B1734" s="4" t="s">
        <v>45</v>
      </c>
    </row>
    <row r="1735" spans="1:2" s="114" customFormat="1" x14ac:dyDescent="0.25">
      <c r="A1735" s="4" t="s">
        <v>73</v>
      </c>
      <c r="B1735" s="4" t="s">
        <v>45</v>
      </c>
    </row>
    <row r="1736" spans="1:2" s="114" customFormat="1" x14ac:dyDescent="0.25">
      <c r="A1736" s="4" t="s">
        <v>581</v>
      </c>
      <c r="B1736" s="4" t="s">
        <v>45</v>
      </c>
    </row>
    <row r="1737" spans="1:2" s="114" customFormat="1" x14ac:dyDescent="0.25">
      <c r="A1737" s="4" t="s">
        <v>72</v>
      </c>
      <c r="B1737" s="4" t="s">
        <v>45</v>
      </c>
    </row>
    <row r="1738" spans="1:2" s="114" customFormat="1" x14ac:dyDescent="0.25">
      <c r="A1738" s="4" t="s">
        <v>69</v>
      </c>
      <c r="B1738" s="4" t="s">
        <v>45</v>
      </c>
    </row>
    <row r="1739" spans="1:2" s="114" customFormat="1" x14ac:dyDescent="0.25">
      <c r="A1739" s="4" t="s">
        <v>69</v>
      </c>
      <c r="B1739" s="4" t="s">
        <v>45</v>
      </c>
    </row>
    <row r="1740" spans="1:2" s="114" customFormat="1" x14ac:dyDescent="0.25">
      <c r="A1740" s="4" t="s">
        <v>68</v>
      </c>
      <c r="B1740" s="4" t="s">
        <v>45</v>
      </c>
    </row>
    <row r="1741" spans="1:2" s="114" customFormat="1" x14ac:dyDescent="0.25">
      <c r="A1741" s="4" t="s">
        <v>75</v>
      </c>
      <c r="B1741" s="4" t="s">
        <v>45</v>
      </c>
    </row>
    <row r="1742" spans="1:2" s="114" customFormat="1" x14ac:dyDescent="0.25">
      <c r="A1742" s="4" t="s">
        <v>69</v>
      </c>
      <c r="B1742" s="4" t="s">
        <v>45</v>
      </c>
    </row>
    <row r="1743" spans="1:2" s="114" customFormat="1" x14ac:dyDescent="0.25">
      <c r="A1743" s="4" t="s">
        <v>73</v>
      </c>
      <c r="B1743" s="4" t="s">
        <v>45</v>
      </c>
    </row>
    <row r="1744" spans="1:2" s="114" customFormat="1" x14ac:dyDescent="0.25">
      <c r="A1744" s="4" t="s">
        <v>72</v>
      </c>
      <c r="B1744" s="4" t="s">
        <v>45</v>
      </c>
    </row>
    <row r="1745" spans="1:2" s="114" customFormat="1" x14ac:dyDescent="0.25">
      <c r="A1745" s="4" t="s">
        <v>69</v>
      </c>
      <c r="B1745" s="4" t="s">
        <v>45</v>
      </c>
    </row>
    <row r="1746" spans="1:2" s="114" customFormat="1" x14ac:dyDescent="0.25">
      <c r="A1746" s="4" t="s">
        <v>69</v>
      </c>
      <c r="B1746" s="4" t="s">
        <v>45</v>
      </c>
    </row>
    <row r="1747" spans="1:2" s="114" customFormat="1" x14ac:dyDescent="0.25">
      <c r="A1747" s="4" t="s">
        <v>60</v>
      </c>
      <c r="B1747" s="4" t="s">
        <v>45</v>
      </c>
    </row>
    <row r="1748" spans="1:2" s="114" customFormat="1" x14ac:dyDescent="0.25">
      <c r="A1748" s="4" t="s">
        <v>72</v>
      </c>
      <c r="B1748" s="4" t="s">
        <v>45</v>
      </c>
    </row>
    <row r="1749" spans="1:2" s="114" customFormat="1" x14ac:dyDescent="0.25">
      <c r="A1749" s="4" t="s">
        <v>72</v>
      </c>
      <c r="B1749" s="4" t="s">
        <v>45</v>
      </c>
    </row>
    <row r="1750" spans="1:2" s="114" customFormat="1" x14ac:dyDescent="0.25">
      <c r="A1750" s="4" t="s">
        <v>72</v>
      </c>
      <c r="B1750" s="4" t="s">
        <v>45</v>
      </c>
    </row>
    <row r="1751" spans="1:2" s="114" customFormat="1" x14ac:dyDescent="0.25">
      <c r="A1751" s="4" t="s">
        <v>62</v>
      </c>
      <c r="B1751" s="4" t="s">
        <v>45</v>
      </c>
    </row>
    <row r="1752" spans="1:2" s="114" customFormat="1" x14ac:dyDescent="0.25">
      <c r="A1752" s="4" t="s">
        <v>75</v>
      </c>
      <c r="B1752" s="4" t="s">
        <v>45</v>
      </c>
    </row>
    <row r="1753" spans="1:2" s="114" customFormat="1" x14ac:dyDescent="0.25">
      <c r="A1753" s="4" t="s">
        <v>69</v>
      </c>
      <c r="B1753" s="4" t="s">
        <v>45</v>
      </c>
    </row>
    <row r="1754" spans="1:2" s="114" customFormat="1" x14ac:dyDescent="0.25">
      <c r="A1754" s="4" t="s">
        <v>61</v>
      </c>
      <c r="B1754" s="4" t="s">
        <v>45</v>
      </c>
    </row>
    <row r="1755" spans="1:2" s="114" customFormat="1" x14ac:dyDescent="0.25">
      <c r="A1755" s="4" t="s">
        <v>68</v>
      </c>
      <c r="B1755" s="4" t="s">
        <v>45</v>
      </c>
    </row>
    <row r="1756" spans="1:2" s="114" customFormat="1" x14ac:dyDescent="0.25">
      <c r="A1756" s="4" t="s">
        <v>67</v>
      </c>
      <c r="B1756" s="4" t="s">
        <v>45</v>
      </c>
    </row>
    <row r="1757" spans="1:2" s="114" customFormat="1" x14ac:dyDescent="0.25">
      <c r="A1757" s="4" t="s">
        <v>67</v>
      </c>
      <c r="B1757" s="4" t="s">
        <v>45</v>
      </c>
    </row>
    <row r="1758" spans="1:2" s="114" customFormat="1" x14ac:dyDescent="0.25">
      <c r="A1758" s="4" t="s">
        <v>72</v>
      </c>
      <c r="B1758" s="4" t="s">
        <v>45</v>
      </c>
    </row>
    <row r="1759" spans="1:2" s="114" customFormat="1" x14ac:dyDescent="0.25">
      <c r="A1759" s="4" t="s">
        <v>74</v>
      </c>
      <c r="B1759" s="4" t="s">
        <v>45</v>
      </c>
    </row>
    <row r="1760" spans="1:2" s="114" customFormat="1" x14ac:dyDescent="0.25">
      <c r="A1760" s="4" t="s">
        <v>72</v>
      </c>
      <c r="B1760" s="4" t="s">
        <v>45</v>
      </c>
    </row>
    <row r="1761" spans="1:2" s="114" customFormat="1" x14ac:dyDescent="0.25">
      <c r="A1761" s="4" t="s">
        <v>72</v>
      </c>
      <c r="B1761" s="4" t="s">
        <v>45</v>
      </c>
    </row>
    <row r="1762" spans="1:2" s="114" customFormat="1" x14ac:dyDescent="0.25">
      <c r="A1762" s="4" t="s">
        <v>73</v>
      </c>
      <c r="B1762" s="4" t="s">
        <v>45</v>
      </c>
    </row>
    <row r="1763" spans="1:2" s="114" customFormat="1" x14ac:dyDescent="0.25">
      <c r="A1763" s="4" t="s">
        <v>61</v>
      </c>
      <c r="B1763" s="4" t="s">
        <v>45</v>
      </c>
    </row>
    <row r="1764" spans="1:2" s="114" customFormat="1" x14ac:dyDescent="0.25">
      <c r="A1764" s="4" t="s">
        <v>62</v>
      </c>
      <c r="B1764" s="4" t="s">
        <v>46</v>
      </c>
    </row>
    <row r="1765" spans="1:2" s="114" customFormat="1" x14ac:dyDescent="0.25">
      <c r="A1765" s="4" t="s">
        <v>62</v>
      </c>
      <c r="B1765" s="4" t="s">
        <v>46</v>
      </c>
    </row>
    <row r="1766" spans="1:2" s="114" customFormat="1" x14ac:dyDescent="0.25">
      <c r="A1766" s="4" t="s">
        <v>67</v>
      </c>
      <c r="B1766" s="4" t="s">
        <v>46</v>
      </c>
    </row>
    <row r="1767" spans="1:2" s="114" customFormat="1" x14ac:dyDescent="0.25">
      <c r="A1767" s="4" t="s">
        <v>72</v>
      </c>
      <c r="B1767" s="4" t="s">
        <v>46</v>
      </c>
    </row>
    <row r="1768" spans="1:2" s="114" customFormat="1" x14ac:dyDescent="0.25">
      <c r="A1768" s="4" t="s">
        <v>61</v>
      </c>
      <c r="B1768" s="4" t="s">
        <v>46</v>
      </c>
    </row>
    <row r="1769" spans="1:2" s="114" customFormat="1" x14ac:dyDescent="0.25">
      <c r="A1769" s="4" t="s">
        <v>72</v>
      </c>
      <c r="B1769" s="4" t="s">
        <v>46</v>
      </c>
    </row>
    <row r="1770" spans="1:2" s="114" customFormat="1" x14ac:dyDescent="0.25">
      <c r="A1770" s="4" t="s">
        <v>72</v>
      </c>
      <c r="B1770" s="4" t="s">
        <v>46</v>
      </c>
    </row>
    <row r="1771" spans="1:2" s="114" customFormat="1" x14ac:dyDescent="0.25">
      <c r="A1771" s="4" t="s">
        <v>72</v>
      </c>
      <c r="B1771" s="4" t="s">
        <v>46</v>
      </c>
    </row>
    <row r="1772" spans="1:2" s="114" customFormat="1" x14ac:dyDescent="0.25">
      <c r="A1772" s="4" t="s">
        <v>75</v>
      </c>
      <c r="B1772" s="4" t="s">
        <v>46</v>
      </c>
    </row>
    <row r="1773" spans="1:2" s="114" customFormat="1" x14ac:dyDescent="0.25">
      <c r="A1773" s="4" t="s">
        <v>68</v>
      </c>
      <c r="B1773" s="4" t="s">
        <v>46</v>
      </c>
    </row>
    <row r="1774" spans="1:2" s="114" customFormat="1" x14ac:dyDescent="0.25">
      <c r="A1774" s="4" t="s">
        <v>68</v>
      </c>
      <c r="B1774" s="4" t="s">
        <v>46</v>
      </c>
    </row>
    <row r="1775" spans="1:2" s="114" customFormat="1" x14ac:dyDescent="0.25">
      <c r="A1775" s="4" t="s">
        <v>68</v>
      </c>
      <c r="B1775" s="4" t="s">
        <v>46</v>
      </c>
    </row>
    <row r="1776" spans="1:2" s="114" customFormat="1" x14ac:dyDescent="0.25">
      <c r="A1776" s="4" t="s">
        <v>73</v>
      </c>
      <c r="B1776" s="4" t="s">
        <v>46</v>
      </c>
    </row>
    <row r="1777" spans="1:2" s="114" customFormat="1" x14ac:dyDescent="0.25">
      <c r="A1777" s="4" t="s">
        <v>67</v>
      </c>
      <c r="B1777" s="4" t="s">
        <v>46</v>
      </c>
    </row>
    <row r="1778" spans="1:2" s="114" customFormat="1" x14ac:dyDescent="0.25">
      <c r="A1778" s="4" t="s">
        <v>67</v>
      </c>
      <c r="B1778" s="4" t="s">
        <v>46</v>
      </c>
    </row>
    <row r="1779" spans="1:2" s="114" customFormat="1" x14ac:dyDescent="0.25">
      <c r="A1779" s="4" t="s">
        <v>72</v>
      </c>
      <c r="B1779" s="4" t="s">
        <v>46</v>
      </c>
    </row>
    <row r="1780" spans="1:2" s="114" customFormat="1" x14ac:dyDescent="0.25">
      <c r="A1780" s="4" t="s">
        <v>72</v>
      </c>
      <c r="B1780" s="4" t="s">
        <v>46</v>
      </c>
    </row>
    <row r="1781" spans="1:2" s="114" customFormat="1" x14ac:dyDescent="0.25">
      <c r="A1781" s="4" t="s">
        <v>75</v>
      </c>
      <c r="B1781" s="4" t="s">
        <v>46</v>
      </c>
    </row>
    <row r="1782" spans="1:2" s="114" customFormat="1" x14ac:dyDescent="0.25">
      <c r="A1782" s="4" t="s">
        <v>69</v>
      </c>
      <c r="B1782" s="4" t="s">
        <v>46</v>
      </c>
    </row>
    <row r="1783" spans="1:2" s="114" customFormat="1" x14ac:dyDescent="0.25">
      <c r="A1783" s="4" t="s">
        <v>68</v>
      </c>
      <c r="B1783" s="4" t="s">
        <v>46</v>
      </c>
    </row>
    <row r="1784" spans="1:2" s="114" customFormat="1" x14ac:dyDescent="0.25">
      <c r="A1784" s="4" t="s">
        <v>68</v>
      </c>
      <c r="B1784" s="4" t="s">
        <v>46</v>
      </c>
    </row>
    <row r="1785" spans="1:2" s="114" customFormat="1" x14ac:dyDescent="0.25">
      <c r="A1785" s="4" t="s">
        <v>68</v>
      </c>
      <c r="B1785" s="4" t="s">
        <v>46</v>
      </c>
    </row>
    <row r="1786" spans="1:2" s="114" customFormat="1" x14ac:dyDescent="0.25">
      <c r="A1786" s="4" t="s">
        <v>67</v>
      </c>
      <c r="B1786" s="4" t="s">
        <v>46</v>
      </c>
    </row>
    <row r="1787" spans="1:2" s="114" customFormat="1" x14ac:dyDescent="0.25">
      <c r="A1787" s="4" t="s">
        <v>72</v>
      </c>
      <c r="B1787" s="4" t="s">
        <v>46</v>
      </c>
    </row>
    <row r="1788" spans="1:2" s="114" customFormat="1" x14ac:dyDescent="0.25">
      <c r="A1788" s="4" t="s">
        <v>68</v>
      </c>
      <c r="B1788" s="4" t="s">
        <v>46</v>
      </c>
    </row>
    <row r="1789" spans="1:2" s="114" customFormat="1" x14ac:dyDescent="0.25">
      <c r="A1789" s="4" t="s">
        <v>67</v>
      </c>
      <c r="B1789" s="4" t="s">
        <v>46</v>
      </c>
    </row>
    <row r="1790" spans="1:2" s="114" customFormat="1" x14ac:dyDescent="0.25">
      <c r="A1790" s="4" t="s">
        <v>72</v>
      </c>
      <c r="B1790" s="4" t="s">
        <v>46</v>
      </c>
    </row>
    <row r="1791" spans="1:2" s="114" customFormat="1" x14ac:dyDescent="0.25">
      <c r="A1791" s="4" t="s">
        <v>75</v>
      </c>
      <c r="B1791" s="4" t="s">
        <v>46</v>
      </c>
    </row>
    <row r="1792" spans="1:2" s="114" customFormat="1" x14ac:dyDescent="0.25">
      <c r="A1792" s="4" t="s">
        <v>67</v>
      </c>
      <c r="B1792" s="4" t="s">
        <v>46</v>
      </c>
    </row>
    <row r="1793" spans="1:2" s="114" customFormat="1" x14ac:dyDescent="0.25">
      <c r="A1793" s="4" t="s">
        <v>72</v>
      </c>
      <c r="B1793" s="4" t="s">
        <v>46</v>
      </c>
    </row>
    <row r="1794" spans="1:2" s="114" customFormat="1" x14ac:dyDescent="0.25">
      <c r="A1794" s="4" t="s">
        <v>75</v>
      </c>
      <c r="B1794" s="4" t="s">
        <v>46</v>
      </c>
    </row>
    <row r="1795" spans="1:2" s="114" customFormat="1" x14ac:dyDescent="0.25">
      <c r="A1795" s="4" t="s">
        <v>60</v>
      </c>
      <c r="B1795" s="4" t="s">
        <v>46</v>
      </c>
    </row>
    <row r="1796" spans="1:2" s="114" customFormat="1" x14ac:dyDescent="0.25">
      <c r="A1796" s="4" t="s">
        <v>72</v>
      </c>
      <c r="B1796" s="4" t="s">
        <v>46</v>
      </c>
    </row>
    <row r="1797" spans="1:2" s="114" customFormat="1" x14ac:dyDescent="0.25">
      <c r="A1797" s="4" t="s">
        <v>72</v>
      </c>
      <c r="B1797" s="4" t="s">
        <v>46</v>
      </c>
    </row>
    <row r="1798" spans="1:2" s="114" customFormat="1" x14ac:dyDescent="0.25">
      <c r="A1798" s="4" t="s">
        <v>62</v>
      </c>
      <c r="B1798" s="4" t="s">
        <v>46</v>
      </c>
    </row>
    <row r="1799" spans="1:2" s="114" customFormat="1" x14ac:dyDescent="0.25">
      <c r="A1799" s="4" t="s">
        <v>75</v>
      </c>
      <c r="B1799" s="4" t="s">
        <v>46</v>
      </c>
    </row>
    <row r="1800" spans="1:2" s="114" customFormat="1" x14ac:dyDescent="0.25">
      <c r="A1800" s="4" t="s">
        <v>68</v>
      </c>
      <c r="B1800" s="4" t="s">
        <v>46</v>
      </c>
    </row>
    <row r="1801" spans="1:2" s="114" customFormat="1" x14ac:dyDescent="0.25">
      <c r="A1801" s="4" t="s">
        <v>67</v>
      </c>
      <c r="B1801" s="4" t="s">
        <v>46</v>
      </c>
    </row>
    <row r="1802" spans="1:2" s="114" customFormat="1" x14ac:dyDescent="0.25">
      <c r="A1802" s="4" t="s">
        <v>72</v>
      </c>
      <c r="B1802" s="4" t="s">
        <v>46</v>
      </c>
    </row>
    <row r="1803" spans="1:2" s="114" customFormat="1" x14ac:dyDescent="0.25">
      <c r="A1803" s="4" t="s">
        <v>75</v>
      </c>
      <c r="B1803" s="4" t="s">
        <v>46</v>
      </c>
    </row>
    <row r="1804" spans="1:2" s="114" customFormat="1" x14ac:dyDescent="0.25">
      <c r="A1804" s="4" t="s">
        <v>72</v>
      </c>
      <c r="B1804" s="4" t="s">
        <v>46</v>
      </c>
    </row>
    <row r="1805" spans="1:2" s="114" customFormat="1" x14ac:dyDescent="0.25">
      <c r="A1805" s="4" t="s">
        <v>72</v>
      </c>
      <c r="B1805" s="4" t="s">
        <v>46</v>
      </c>
    </row>
    <row r="1806" spans="1:2" s="114" customFormat="1" x14ac:dyDescent="0.25">
      <c r="A1806" s="4" t="s">
        <v>68</v>
      </c>
      <c r="B1806" s="4" t="s">
        <v>46</v>
      </c>
    </row>
    <row r="1807" spans="1:2" s="114" customFormat="1" x14ac:dyDescent="0.25">
      <c r="A1807" s="4" t="s">
        <v>62</v>
      </c>
      <c r="B1807" s="4" t="s">
        <v>47</v>
      </c>
    </row>
    <row r="1808" spans="1:2" s="114" customFormat="1" x14ac:dyDescent="0.25">
      <c r="A1808" s="4" t="s">
        <v>65</v>
      </c>
      <c r="B1808" s="4" t="s">
        <v>47</v>
      </c>
    </row>
    <row r="1809" spans="1:2" s="114" customFormat="1" x14ac:dyDescent="0.25">
      <c r="A1809" s="4" t="s">
        <v>69</v>
      </c>
      <c r="B1809" s="4" t="s">
        <v>47</v>
      </c>
    </row>
    <row r="1810" spans="1:2" s="114" customFormat="1" x14ac:dyDescent="0.25">
      <c r="A1810" s="4" t="s">
        <v>72</v>
      </c>
      <c r="B1810" s="4" t="s">
        <v>47</v>
      </c>
    </row>
    <row r="1811" spans="1:2" s="114" customFormat="1" x14ac:dyDescent="0.25">
      <c r="A1811" s="4" t="s">
        <v>72</v>
      </c>
      <c r="B1811" s="4" t="s">
        <v>47</v>
      </c>
    </row>
    <row r="1812" spans="1:2" s="114" customFormat="1" x14ac:dyDescent="0.25">
      <c r="A1812" s="4" t="s">
        <v>72</v>
      </c>
      <c r="B1812" s="4" t="s">
        <v>47</v>
      </c>
    </row>
    <row r="1813" spans="1:2" s="114" customFormat="1" x14ac:dyDescent="0.25">
      <c r="A1813" s="4" t="s">
        <v>62</v>
      </c>
      <c r="B1813" s="4" t="s">
        <v>47</v>
      </c>
    </row>
    <row r="1814" spans="1:2" s="114" customFormat="1" x14ac:dyDescent="0.25">
      <c r="A1814" s="4" t="s">
        <v>75</v>
      </c>
      <c r="B1814" s="4" t="s">
        <v>47</v>
      </c>
    </row>
    <row r="1815" spans="1:2" s="114" customFormat="1" x14ac:dyDescent="0.25">
      <c r="A1815" s="4" t="s">
        <v>73</v>
      </c>
      <c r="B1815" s="4" t="s">
        <v>47</v>
      </c>
    </row>
    <row r="1816" spans="1:2" s="114" customFormat="1" x14ac:dyDescent="0.25">
      <c r="A1816" s="4" t="s">
        <v>67</v>
      </c>
      <c r="B1816" s="4" t="s">
        <v>47</v>
      </c>
    </row>
    <row r="1817" spans="1:2" s="114" customFormat="1" x14ac:dyDescent="0.25">
      <c r="A1817" s="4" t="s">
        <v>72</v>
      </c>
      <c r="B1817" s="4" t="s">
        <v>47</v>
      </c>
    </row>
    <row r="1818" spans="1:2" s="114" customFormat="1" x14ac:dyDescent="0.25">
      <c r="A1818" s="4" t="s">
        <v>67</v>
      </c>
      <c r="B1818" s="4" t="s">
        <v>47</v>
      </c>
    </row>
    <row r="1819" spans="1:2" s="114" customFormat="1" x14ac:dyDescent="0.25">
      <c r="A1819" s="4" t="s">
        <v>75</v>
      </c>
      <c r="B1819" s="4" t="s">
        <v>47</v>
      </c>
    </row>
    <row r="1820" spans="1:2" s="114" customFormat="1" x14ac:dyDescent="0.25">
      <c r="A1820" s="4" t="s">
        <v>69</v>
      </c>
      <c r="B1820" s="4" t="s">
        <v>47</v>
      </c>
    </row>
    <row r="1821" spans="1:2" s="114" customFormat="1" x14ac:dyDescent="0.25">
      <c r="A1821" s="4" t="s">
        <v>62</v>
      </c>
      <c r="B1821" s="4" t="s">
        <v>47</v>
      </c>
    </row>
    <row r="1822" spans="1:2" s="114" customFormat="1" x14ac:dyDescent="0.25">
      <c r="A1822" s="4" t="s">
        <v>64</v>
      </c>
      <c r="B1822" s="4" t="s">
        <v>47</v>
      </c>
    </row>
    <row r="1823" spans="1:2" s="114" customFormat="1" x14ac:dyDescent="0.25">
      <c r="A1823" s="4" t="s">
        <v>73</v>
      </c>
      <c r="B1823" s="4" t="s">
        <v>47</v>
      </c>
    </row>
    <row r="1824" spans="1:2" s="114" customFormat="1" x14ac:dyDescent="0.25">
      <c r="A1824" s="4" t="s">
        <v>71</v>
      </c>
      <c r="B1824" s="4" t="s">
        <v>47</v>
      </c>
    </row>
    <row r="1825" spans="1:2" s="114" customFormat="1" x14ac:dyDescent="0.25">
      <c r="A1825" s="4" t="s">
        <v>72</v>
      </c>
      <c r="B1825" s="4" t="s">
        <v>47</v>
      </c>
    </row>
    <row r="1826" spans="1:2" s="114" customFormat="1" x14ac:dyDescent="0.25">
      <c r="A1826" s="4" t="s">
        <v>65</v>
      </c>
      <c r="B1826" s="4" t="s">
        <v>47</v>
      </c>
    </row>
    <row r="1827" spans="1:2" s="114" customFormat="1" x14ac:dyDescent="0.25">
      <c r="A1827" s="4" t="s">
        <v>68</v>
      </c>
      <c r="B1827" s="4" t="s">
        <v>47</v>
      </c>
    </row>
    <row r="1828" spans="1:2" s="114" customFormat="1" x14ac:dyDescent="0.25">
      <c r="A1828" s="4" t="s">
        <v>68</v>
      </c>
      <c r="B1828" s="4" t="s">
        <v>47</v>
      </c>
    </row>
    <row r="1829" spans="1:2" s="114" customFormat="1" x14ac:dyDescent="0.25">
      <c r="A1829" s="4" t="s">
        <v>73</v>
      </c>
      <c r="B1829" s="4" t="s">
        <v>47</v>
      </c>
    </row>
    <row r="1830" spans="1:2" s="114" customFormat="1" x14ac:dyDescent="0.25">
      <c r="A1830" s="4" t="s">
        <v>61</v>
      </c>
      <c r="B1830" s="4" t="s">
        <v>47</v>
      </c>
    </row>
    <row r="1831" spans="1:2" s="114" customFormat="1" x14ac:dyDescent="0.25">
      <c r="A1831" s="4" t="s">
        <v>72</v>
      </c>
      <c r="B1831" s="4" t="s">
        <v>47</v>
      </c>
    </row>
    <row r="1832" spans="1:2" s="114" customFormat="1" x14ac:dyDescent="0.25">
      <c r="A1832" s="4" t="s">
        <v>72</v>
      </c>
      <c r="B1832" s="4" t="s">
        <v>47</v>
      </c>
    </row>
    <row r="1833" spans="1:2" s="114" customFormat="1" x14ac:dyDescent="0.25">
      <c r="A1833" s="4" t="s">
        <v>72</v>
      </c>
      <c r="B1833" s="4" t="s">
        <v>47</v>
      </c>
    </row>
    <row r="1834" spans="1:2" s="114" customFormat="1" x14ac:dyDescent="0.25">
      <c r="A1834" s="4" t="s">
        <v>65</v>
      </c>
      <c r="B1834" s="4" t="s">
        <v>47</v>
      </c>
    </row>
    <row r="1835" spans="1:2" s="114" customFormat="1" x14ac:dyDescent="0.25">
      <c r="A1835" s="4" t="s">
        <v>59</v>
      </c>
      <c r="B1835" s="4" t="s">
        <v>47</v>
      </c>
    </row>
    <row r="1836" spans="1:2" s="114" customFormat="1" x14ac:dyDescent="0.25">
      <c r="A1836" s="4" t="s">
        <v>72</v>
      </c>
      <c r="B1836" s="4" t="s">
        <v>47</v>
      </c>
    </row>
    <row r="1837" spans="1:2" s="114" customFormat="1" x14ac:dyDescent="0.25">
      <c r="A1837" s="4" t="s">
        <v>65</v>
      </c>
      <c r="B1837" s="4" t="s">
        <v>48</v>
      </c>
    </row>
    <row r="1838" spans="1:2" s="114" customFormat="1" x14ac:dyDescent="0.25">
      <c r="A1838" s="4" t="s">
        <v>62</v>
      </c>
      <c r="B1838" s="4" t="s">
        <v>48</v>
      </c>
    </row>
    <row r="1839" spans="1:2" s="114" customFormat="1" x14ac:dyDescent="0.25">
      <c r="A1839" s="4" t="s">
        <v>65</v>
      </c>
      <c r="B1839" s="4" t="s">
        <v>48</v>
      </c>
    </row>
    <row r="1840" spans="1:2" s="114" customFormat="1" x14ac:dyDescent="0.25">
      <c r="A1840" s="4" t="s">
        <v>65</v>
      </c>
      <c r="B1840" s="4" t="s">
        <v>48</v>
      </c>
    </row>
    <row r="1841" spans="1:2" s="114" customFormat="1" x14ac:dyDescent="0.25">
      <c r="A1841" s="4" t="s">
        <v>68</v>
      </c>
      <c r="B1841" s="4" t="s">
        <v>48</v>
      </c>
    </row>
    <row r="1842" spans="1:2" s="114" customFormat="1" x14ac:dyDescent="0.25">
      <c r="A1842" s="4" t="s">
        <v>72</v>
      </c>
      <c r="B1842" s="4" t="s">
        <v>48</v>
      </c>
    </row>
    <row r="1843" spans="1:2" s="114" customFormat="1" x14ac:dyDescent="0.25">
      <c r="A1843" s="4" t="s">
        <v>72</v>
      </c>
      <c r="B1843" s="4" t="s">
        <v>48</v>
      </c>
    </row>
    <row r="1844" spans="1:2" s="114" customFormat="1" x14ac:dyDescent="0.25">
      <c r="A1844" s="4" t="s">
        <v>65</v>
      </c>
      <c r="B1844" s="4" t="s">
        <v>48</v>
      </c>
    </row>
    <row r="1845" spans="1:2" s="114" customFormat="1" x14ac:dyDescent="0.25">
      <c r="A1845" s="4" t="s">
        <v>71</v>
      </c>
      <c r="B1845" s="4" t="s">
        <v>48</v>
      </c>
    </row>
    <row r="1846" spans="1:2" s="114" customFormat="1" x14ac:dyDescent="0.25">
      <c r="A1846" s="4" t="s">
        <v>71</v>
      </c>
      <c r="B1846" s="4" t="s">
        <v>48</v>
      </c>
    </row>
    <row r="1847" spans="1:2" s="114" customFormat="1" x14ac:dyDescent="0.25">
      <c r="A1847" s="4" t="s">
        <v>65</v>
      </c>
      <c r="B1847" s="4" t="s">
        <v>48</v>
      </c>
    </row>
    <row r="1848" spans="1:2" s="114" customFormat="1" x14ac:dyDescent="0.25">
      <c r="A1848" s="4" t="s">
        <v>73</v>
      </c>
      <c r="B1848" s="4" t="s">
        <v>48</v>
      </c>
    </row>
    <row r="1849" spans="1:2" s="114" customFormat="1" x14ac:dyDescent="0.25">
      <c r="A1849" s="4" t="s">
        <v>73</v>
      </c>
      <c r="B1849" s="4" t="s">
        <v>48</v>
      </c>
    </row>
    <row r="1850" spans="1:2" s="114" customFormat="1" x14ac:dyDescent="0.25">
      <c r="A1850" s="4" t="s">
        <v>67</v>
      </c>
      <c r="B1850" s="4" t="s">
        <v>48</v>
      </c>
    </row>
    <row r="1851" spans="1:2" s="114" customFormat="1" x14ac:dyDescent="0.25">
      <c r="A1851" s="4" t="s">
        <v>62</v>
      </c>
      <c r="B1851" s="4" t="s">
        <v>48</v>
      </c>
    </row>
    <row r="1852" spans="1:2" s="114" customFormat="1" x14ac:dyDescent="0.25">
      <c r="A1852" s="4" t="s">
        <v>61</v>
      </c>
      <c r="B1852" s="4" t="s">
        <v>48</v>
      </c>
    </row>
    <row r="1853" spans="1:2" s="114" customFormat="1" x14ac:dyDescent="0.25">
      <c r="A1853" s="4" t="s">
        <v>72</v>
      </c>
      <c r="B1853" s="4" t="s">
        <v>48</v>
      </c>
    </row>
    <row r="1854" spans="1:2" x14ac:dyDescent="0.25">
      <c r="A1854" s="4" t="s">
        <v>67</v>
      </c>
      <c r="B1854" s="4" t="s">
        <v>48</v>
      </c>
    </row>
    <row r="1855" spans="1:2" x14ac:dyDescent="0.25">
      <c r="A1855" s="4" t="s">
        <v>75</v>
      </c>
      <c r="B1855" s="4" t="s">
        <v>48</v>
      </c>
    </row>
  </sheetData>
  <sortState ref="A1:B3102">
    <sortCondition ref="B1:B3102"/>
  </sortState>
  <dataValidations count="5">
    <dataValidation type="list" allowBlank="1" showInputMessage="1" showErrorMessage="1" sqref="A1810:A1855">
      <formula1>$D$2:$D$18</formula1>
    </dataValidation>
    <dataValidation type="list" allowBlank="1" showInputMessage="1" showErrorMessage="1" sqref="B781:B1035">
      <formula1>$B$2:$B$38</formula1>
    </dataValidation>
    <dataValidation type="list" allowBlank="1" showInputMessage="1" showErrorMessage="1" sqref="B1037:B1291">
      <formula1>$B$2:$B$38</formula1>
    </dataValidation>
    <dataValidation type="list" allowBlank="1" showInputMessage="1" showErrorMessage="1" sqref="B1299:B1549">
      <formula1>$B$2:$B$38</formula1>
    </dataValidation>
    <dataValidation type="list" allowBlank="1" showInputMessage="1" showErrorMessage="1" sqref="B1557:B1855">
      <formula1>$B$2:$B$38</formula1>
    </dataValidation>
  </dataValidations>
  <pageMargins left="0.7" right="0.7" top="0.75" bottom="0.75" header="0.3" footer="0.3"/>
  <pageSetup orientation="portrait" horizontalDpi="300" verticalDpi="30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'Cell values'!$D$2:$D$18</xm:f>
          </x14:formula1>
          <xm:sqref>A2:A1807</xm:sqref>
        </x14:dataValidation>
        <x14:dataValidation type="list" allowBlank="1" showInputMessage="1" showErrorMessage="1">
          <x14:formula1>
            <xm:f>'Cell values'!$B$2:$B$38</xm:f>
          </x14:formula1>
          <xm:sqref>B2:B776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T41"/>
  <sheetViews>
    <sheetView workbookViewId="0">
      <selection sqref="A1:B2"/>
    </sheetView>
  </sheetViews>
  <sheetFormatPr defaultRowHeight="15" x14ac:dyDescent="0.25"/>
  <cols>
    <col min="1" max="1" width="4.85546875" customWidth="1"/>
    <col min="2" max="2" width="17.85546875" customWidth="1"/>
    <col min="3" max="3" width="7.28515625" customWidth="1"/>
    <col min="4" max="4" width="11" customWidth="1"/>
    <col min="5" max="5" width="8.85546875" customWidth="1"/>
    <col min="6" max="6" width="10.28515625" customWidth="1"/>
    <col min="7" max="7" width="11.42578125" customWidth="1"/>
    <col min="8" max="8" width="7" customWidth="1"/>
    <col min="9" max="9" width="18" customWidth="1"/>
    <col min="10" max="10" width="14.42578125" customWidth="1"/>
    <col min="11" max="11" width="14.7109375" customWidth="1"/>
    <col min="13" max="13" width="6.85546875" customWidth="1"/>
    <col min="14" max="14" width="12.5703125" customWidth="1"/>
    <col min="16" max="16" width="10.140625" customWidth="1"/>
    <col min="17" max="17" width="5.7109375" bestFit="1" customWidth="1"/>
    <col min="18" max="18" width="6.7109375" customWidth="1"/>
    <col min="19" max="19" width="9.140625" customWidth="1"/>
    <col min="20" max="20" width="7" customWidth="1"/>
  </cols>
  <sheetData>
    <row r="1" spans="1:20" ht="15.75" thickTop="1" x14ac:dyDescent="0.25">
      <c r="A1" s="138" t="s">
        <v>1210</v>
      </c>
      <c r="B1" s="139"/>
      <c r="C1" s="142" t="s">
        <v>1207</v>
      </c>
      <c r="D1" s="143"/>
      <c r="E1" s="143"/>
      <c r="F1" s="143"/>
      <c r="G1" s="143"/>
      <c r="H1" s="143"/>
      <c r="I1" s="143"/>
      <c r="J1" s="143"/>
      <c r="K1" s="143"/>
      <c r="L1" s="143"/>
      <c r="M1" s="143"/>
      <c r="N1" s="143"/>
      <c r="O1" s="143"/>
      <c r="P1" s="143"/>
      <c r="Q1" s="143"/>
      <c r="R1" s="143"/>
      <c r="S1" s="143"/>
      <c r="T1" s="144" t="s">
        <v>188</v>
      </c>
    </row>
    <row r="2" spans="1:20" ht="39.75" thickBot="1" x14ac:dyDescent="0.3">
      <c r="A2" s="140"/>
      <c r="B2" s="141"/>
      <c r="C2" s="60" t="s">
        <v>67</v>
      </c>
      <c r="D2" s="61" t="s">
        <v>71</v>
      </c>
      <c r="E2" s="61" t="s">
        <v>72</v>
      </c>
      <c r="F2" s="61" t="s">
        <v>62</v>
      </c>
      <c r="G2" s="61" t="s">
        <v>74</v>
      </c>
      <c r="H2" s="61" t="s">
        <v>20</v>
      </c>
      <c r="I2" s="61" t="s">
        <v>75</v>
      </c>
      <c r="J2" s="61" t="s">
        <v>70</v>
      </c>
      <c r="K2" s="61" t="s">
        <v>69</v>
      </c>
      <c r="L2" s="61" t="s">
        <v>61</v>
      </c>
      <c r="M2" s="61" t="s">
        <v>60</v>
      </c>
      <c r="N2" s="61" t="s">
        <v>64</v>
      </c>
      <c r="O2" s="61" t="s">
        <v>1211</v>
      </c>
      <c r="P2" s="61" t="s">
        <v>63</v>
      </c>
      <c r="Q2" s="61" t="s">
        <v>68</v>
      </c>
      <c r="R2" s="61" t="s">
        <v>73</v>
      </c>
      <c r="S2" s="61" t="s">
        <v>581</v>
      </c>
      <c r="T2" s="145"/>
    </row>
    <row r="3" spans="1:20" ht="25.5" customHeight="1" thickTop="1" x14ac:dyDescent="0.25">
      <c r="A3" s="134" t="s">
        <v>12</v>
      </c>
      <c r="B3" s="62" t="s">
        <v>13</v>
      </c>
      <c r="C3" s="65">
        <v>5</v>
      </c>
      <c r="D3" s="66">
        <v>4</v>
      </c>
      <c r="E3" s="66">
        <v>16</v>
      </c>
      <c r="F3" s="66">
        <v>2</v>
      </c>
      <c r="G3" s="66">
        <v>1</v>
      </c>
      <c r="H3" s="66">
        <v>1</v>
      </c>
      <c r="I3" s="66">
        <v>8</v>
      </c>
      <c r="J3" s="66">
        <v>0</v>
      </c>
      <c r="K3" s="66">
        <v>5</v>
      </c>
      <c r="L3" s="66">
        <v>1</v>
      </c>
      <c r="M3" s="66">
        <v>0</v>
      </c>
      <c r="N3" s="66">
        <v>1</v>
      </c>
      <c r="O3" s="66">
        <v>0</v>
      </c>
      <c r="P3" s="66">
        <v>0</v>
      </c>
      <c r="Q3" s="66">
        <v>3</v>
      </c>
      <c r="R3" s="66">
        <v>4</v>
      </c>
      <c r="S3" s="66">
        <v>2</v>
      </c>
      <c r="T3" s="67">
        <v>53</v>
      </c>
    </row>
    <row r="4" spans="1:20" x14ac:dyDescent="0.25">
      <c r="A4" s="135"/>
      <c r="B4" s="63" t="s">
        <v>14</v>
      </c>
      <c r="C4" s="68">
        <v>1</v>
      </c>
      <c r="D4" s="69">
        <v>0</v>
      </c>
      <c r="E4" s="69">
        <v>5</v>
      </c>
      <c r="F4" s="69">
        <v>7</v>
      </c>
      <c r="G4" s="69">
        <v>1</v>
      </c>
      <c r="H4" s="69">
        <v>0</v>
      </c>
      <c r="I4" s="69">
        <v>4</v>
      </c>
      <c r="J4" s="69">
        <v>0</v>
      </c>
      <c r="K4" s="69">
        <v>1</v>
      </c>
      <c r="L4" s="69">
        <v>0</v>
      </c>
      <c r="M4" s="69">
        <v>4</v>
      </c>
      <c r="N4" s="69">
        <v>1</v>
      </c>
      <c r="O4" s="69">
        <v>0</v>
      </c>
      <c r="P4" s="69">
        <v>1</v>
      </c>
      <c r="Q4" s="69">
        <v>6</v>
      </c>
      <c r="R4" s="69">
        <v>0</v>
      </c>
      <c r="S4" s="69">
        <v>1</v>
      </c>
      <c r="T4" s="70">
        <v>32</v>
      </c>
    </row>
    <row r="5" spans="1:20" ht="25.5" customHeight="1" x14ac:dyDescent="0.25">
      <c r="A5" s="135"/>
      <c r="B5" s="63" t="s">
        <v>15</v>
      </c>
      <c r="C5" s="68">
        <v>0</v>
      </c>
      <c r="D5" s="69">
        <v>1</v>
      </c>
      <c r="E5" s="69">
        <v>11</v>
      </c>
      <c r="F5" s="69">
        <v>2</v>
      </c>
      <c r="G5" s="69">
        <v>0</v>
      </c>
      <c r="H5" s="69">
        <v>0</v>
      </c>
      <c r="I5" s="69">
        <v>0</v>
      </c>
      <c r="J5" s="69">
        <v>0</v>
      </c>
      <c r="K5" s="69">
        <v>0</v>
      </c>
      <c r="L5" s="69">
        <v>0</v>
      </c>
      <c r="M5" s="69">
        <v>0</v>
      </c>
      <c r="N5" s="69">
        <v>0</v>
      </c>
      <c r="O5" s="69">
        <v>0</v>
      </c>
      <c r="P5" s="69">
        <v>0</v>
      </c>
      <c r="Q5" s="69">
        <v>8</v>
      </c>
      <c r="R5" s="69">
        <v>0</v>
      </c>
      <c r="S5" s="69">
        <v>0</v>
      </c>
      <c r="T5" s="70">
        <v>22</v>
      </c>
    </row>
    <row r="6" spans="1:20" ht="15" customHeight="1" x14ac:dyDescent="0.25">
      <c r="A6" s="135"/>
      <c r="B6" s="63" t="s">
        <v>7</v>
      </c>
      <c r="C6" s="68">
        <v>1</v>
      </c>
      <c r="D6" s="69">
        <v>1</v>
      </c>
      <c r="E6" s="69">
        <v>15</v>
      </c>
      <c r="F6" s="69">
        <v>7</v>
      </c>
      <c r="G6" s="69">
        <v>0</v>
      </c>
      <c r="H6" s="69">
        <v>0</v>
      </c>
      <c r="I6" s="69">
        <v>8</v>
      </c>
      <c r="J6" s="69">
        <v>0</v>
      </c>
      <c r="K6" s="69">
        <v>2</v>
      </c>
      <c r="L6" s="69">
        <v>1</v>
      </c>
      <c r="M6" s="69">
        <v>1</v>
      </c>
      <c r="N6" s="69">
        <v>1</v>
      </c>
      <c r="O6" s="69">
        <v>2</v>
      </c>
      <c r="P6" s="69">
        <v>0</v>
      </c>
      <c r="Q6" s="69">
        <v>13</v>
      </c>
      <c r="R6" s="69">
        <v>3</v>
      </c>
      <c r="S6" s="69">
        <v>1</v>
      </c>
      <c r="T6" s="70">
        <v>56</v>
      </c>
    </row>
    <row r="7" spans="1:20" ht="38.25" x14ac:dyDescent="0.25">
      <c r="A7" s="135"/>
      <c r="B7" s="63" t="s">
        <v>16</v>
      </c>
      <c r="C7" s="68">
        <v>10</v>
      </c>
      <c r="D7" s="69">
        <v>0</v>
      </c>
      <c r="E7" s="69">
        <v>10</v>
      </c>
      <c r="F7" s="69">
        <v>3</v>
      </c>
      <c r="G7" s="69">
        <v>0</v>
      </c>
      <c r="H7" s="69">
        <v>1</v>
      </c>
      <c r="I7" s="69">
        <v>4</v>
      </c>
      <c r="J7" s="69">
        <v>0</v>
      </c>
      <c r="K7" s="69">
        <v>3</v>
      </c>
      <c r="L7" s="69">
        <v>0</v>
      </c>
      <c r="M7" s="69">
        <v>0</v>
      </c>
      <c r="N7" s="69">
        <v>0</v>
      </c>
      <c r="O7" s="69">
        <v>0</v>
      </c>
      <c r="P7" s="69">
        <v>0</v>
      </c>
      <c r="Q7" s="69">
        <v>7</v>
      </c>
      <c r="R7" s="69">
        <v>1</v>
      </c>
      <c r="S7" s="69">
        <v>0</v>
      </c>
      <c r="T7" s="70">
        <v>39</v>
      </c>
    </row>
    <row r="8" spans="1:20" x14ac:dyDescent="0.25">
      <c r="A8" s="135"/>
      <c r="B8" s="63" t="s">
        <v>17</v>
      </c>
      <c r="C8" s="68">
        <v>10</v>
      </c>
      <c r="D8" s="69">
        <v>2</v>
      </c>
      <c r="E8" s="69">
        <v>23</v>
      </c>
      <c r="F8" s="69">
        <v>9</v>
      </c>
      <c r="G8" s="69">
        <v>0</v>
      </c>
      <c r="H8" s="69">
        <v>0</v>
      </c>
      <c r="I8" s="69">
        <v>9</v>
      </c>
      <c r="J8" s="69">
        <v>0</v>
      </c>
      <c r="K8" s="69">
        <v>8</v>
      </c>
      <c r="L8" s="69">
        <v>2</v>
      </c>
      <c r="M8" s="69">
        <v>0</v>
      </c>
      <c r="N8" s="69">
        <v>1</v>
      </c>
      <c r="O8" s="69">
        <v>1</v>
      </c>
      <c r="P8" s="69">
        <v>0</v>
      </c>
      <c r="Q8" s="69">
        <v>39</v>
      </c>
      <c r="R8" s="69">
        <v>1</v>
      </c>
      <c r="S8" s="69">
        <v>0</v>
      </c>
      <c r="T8" s="70">
        <v>105</v>
      </c>
    </row>
    <row r="9" spans="1:20" x14ac:dyDescent="0.25">
      <c r="A9" s="135"/>
      <c r="B9" s="63" t="s">
        <v>18</v>
      </c>
      <c r="C9" s="68">
        <v>8</v>
      </c>
      <c r="D9" s="69">
        <v>5</v>
      </c>
      <c r="E9" s="69">
        <v>34</v>
      </c>
      <c r="F9" s="69">
        <v>1</v>
      </c>
      <c r="G9" s="69">
        <v>5</v>
      </c>
      <c r="H9" s="69">
        <v>2</v>
      </c>
      <c r="I9" s="69">
        <v>4</v>
      </c>
      <c r="J9" s="69">
        <v>0</v>
      </c>
      <c r="K9" s="69">
        <v>12</v>
      </c>
      <c r="L9" s="69">
        <v>3</v>
      </c>
      <c r="M9" s="69">
        <v>0</v>
      </c>
      <c r="N9" s="69">
        <v>0</v>
      </c>
      <c r="O9" s="69">
        <v>1</v>
      </c>
      <c r="P9" s="69">
        <v>1</v>
      </c>
      <c r="Q9" s="69">
        <v>5</v>
      </c>
      <c r="R9" s="69">
        <v>7</v>
      </c>
      <c r="S9" s="69">
        <v>1</v>
      </c>
      <c r="T9" s="70">
        <v>89</v>
      </c>
    </row>
    <row r="10" spans="1:20" ht="25.5" x14ac:dyDescent="0.25">
      <c r="A10" s="135"/>
      <c r="B10" s="63" t="s">
        <v>19</v>
      </c>
      <c r="C10" s="68">
        <v>3</v>
      </c>
      <c r="D10" s="69">
        <v>0</v>
      </c>
      <c r="E10" s="69">
        <v>2</v>
      </c>
      <c r="F10" s="69">
        <v>1</v>
      </c>
      <c r="G10" s="69">
        <v>1</v>
      </c>
      <c r="H10" s="69">
        <v>0</v>
      </c>
      <c r="I10" s="69">
        <v>1</v>
      </c>
      <c r="J10" s="69">
        <v>0</v>
      </c>
      <c r="K10" s="69">
        <v>2</v>
      </c>
      <c r="L10" s="69">
        <v>0</v>
      </c>
      <c r="M10" s="69">
        <v>0</v>
      </c>
      <c r="N10" s="69">
        <v>0</v>
      </c>
      <c r="O10" s="69">
        <v>0</v>
      </c>
      <c r="P10" s="69">
        <v>0</v>
      </c>
      <c r="Q10" s="69">
        <v>8</v>
      </c>
      <c r="R10" s="69">
        <v>0</v>
      </c>
      <c r="S10" s="69">
        <v>0</v>
      </c>
      <c r="T10" s="70">
        <v>18</v>
      </c>
    </row>
    <row r="11" spans="1:20" x14ac:dyDescent="0.25">
      <c r="A11" s="135"/>
      <c r="B11" s="63" t="s">
        <v>20</v>
      </c>
      <c r="C11" s="68">
        <v>2</v>
      </c>
      <c r="D11" s="69">
        <v>1</v>
      </c>
      <c r="E11" s="69">
        <v>11</v>
      </c>
      <c r="F11" s="69">
        <v>20</v>
      </c>
      <c r="G11" s="69">
        <v>0</v>
      </c>
      <c r="H11" s="69">
        <v>15</v>
      </c>
      <c r="I11" s="69">
        <v>4</v>
      </c>
      <c r="J11" s="69">
        <v>1</v>
      </c>
      <c r="K11" s="69">
        <v>1</v>
      </c>
      <c r="L11" s="69">
        <v>0</v>
      </c>
      <c r="M11" s="69">
        <v>0</v>
      </c>
      <c r="N11" s="69">
        <v>3</v>
      </c>
      <c r="O11" s="69">
        <v>0</v>
      </c>
      <c r="P11" s="69">
        <v>2</v>
      </c>
      <c r="Q11" s="69">
        <v>3</v>
      </c>
      <c r="R11" s="69">
        <v>3</v>
      </c>
      <c r="S11" s="69">
        <v>2</v>
      </c>
      <c r="T11" s="70">
        <v>68</v>
      </c>
    </row>
    <row r="12" spans="1:20" x14ac:dyDescent="0.25">
      <c r="A12" s="135"/>
      <c r="B12" s="63" t="s">
        <v>21</v>
      </c>
      <c r="C12" s="68">
        <v>2</v>
      </c>
      <c r="D12" s="69">
        <v>0</v>
      </c>
      <c r="E12" s="69">
        <v>7</v>
      </c>
      <c r="F12" s="69">
        <v>14</v>
      </c>
      <c r="G12" s="69">
        <v>0</v>
      </c>
      <c r="H12" s="69">
        <v>4</v>
      </c>
      <c r="I12" s="69">
        <v>13</v>
      </c>
      <c r="J12" s="69">
        <v>1</v>
      </c>
      <c r="K12" s="69">
        <v>1</v>
      </c>
      <c r="L12" s="69">
        <v>1</v>
      </c>
      <c r="M12" s="69">
        <v>2</v>
      </c>
      <c r="N12" s="69">
        <v>2</v>
      </c>
      <c r="O12" s="69">
        <v>0</v>
      </c>
      <c r="P12" s="69">
        <v>1</v>
      </c>
      <c r="Q12" s="69">
        <v>2</v>
      </c>
      <c r="R12" s="69">
        <v>2</v>
      </c>
      <c r="S12" s="69">
        <v>5</v>
      </c>
      <c r="T12" s="70">
        <v>57</v>
      </c>
    </row>
    <row r="13" spans="1:20" x14ac:dyDescent="0.25">
      <c r="A13" s="135"/>
      <c r="B13" s="63" t="s">
        <v>22</v>
      </c>
      <c r="C13" s="68">
        <v>2</v>
      </c>
      <c r="D13" s="69">
        <v>3</v>
      </c>
      <c r="E13" s="69">
        <v>25</v>
      </c>
      <c r="F13" s="69">
        <v>2</v>
      </c>
      <c r="G13" s="69">
        <v>0</v>
      </c>
      <c r="H13" s="69">
        <v>1</v>
      </c>
      <c r="I13" s="69">
        <v>5</v>
      </c>
      <c r="J13" s="69">
        <v>0</v>
      </c>
      <c r="K13" s="69">
        <v>7</v>
      </c>
      <c r="L13" s="69">
        <v>1</v>
      </c>
      <c r="M13" s="69">
        <v>0</v>
      </c>
      <c r="N13" s="69">
        <v>0</v>
      </c>
      <c r="O13" s="69">
        <v>0</v>
      </c>
      <c r="P13" s="69">
        <v>0</v>
      </c>
      <c r="Q13" s="69">
        <v>7</v>
      </c>
      <c r="R13" s="69">
        <v>12</v>
      </c>
      <c r="S13" s="69">
        <v>0</v>
      </c>
      <c r="T13" s="70">
        <v>65</v>
      </c>
    </row>
    <row r="14" spans="1:20" ht="25.5" x14ac:dyDescent="0.25">
      <c r="A14" s="135"/>
      <c r="B14" s="63" t="s">
        <v>23</v>
      </c>
      <c r="C14" s="68">
        <v>1</v>
      </c>
      <c r="D14" s="69">
        <v>0</v>
      </c>
      <c r="E14" s="69">
        <v>14</v>
      </c>
      <c r="F14" s="69">
        <v>5</v>
      </c>
      <c r="G14" s="69">
        <v>0</v>
      </c>
      <c r="H14" s="69">
        <v>1</v>
      </c>
      <c r="I14" s="69">
        <v>2</v>
      </c>
      <c r="J14" s="69">
        <v>0</v>
      </c>
      <c r="K14" s="69">
        <v>1</v>
      </c>
      <c r="L14" s="69">
        <v>1</v>
      </c>
      <c r="M14" s="69">
        <v>0</v>
      </c>
      <c r="N14" s="69">
        <v>0</v>
      </c>
      <c r="O14" s="69">
        <v>0</v>
      </c>
      <c r="P14" s="69">
        <v>1</v>
      </c>
      <c r="Q14" s="69">
        <v>7</v>
      </c>
      <c r="R14" s="69">
        <v>2</v>
      </c>
      <c r="S14" s="69">
        <v>0</v>
      </c>
      <c r="T14" s="70">
        <v>35</v>
      </c>
    </row>
    <row r="15" spans="1:20" x14ac:dyDescent="0.25">
      <c r="A15" s="135"/>
      <c r="B15" s="63" t="s">
        <v>24</v>
      </c>
      <c r="C15" s="68">
        <v>0</v>
      </c>
      <c r="D15" s="69">
        <v>0</v>
      </c>
      <c r="E15" s="69">
        <v>5</v>
      </c>
      <c r="F15" s="69">
        <v>3</v>
      </c>
      <c r="G15" s="69">
        <v>0</v>
      </c>
      <c r="H15" s="69">
        <v>0</v>
      </c>
      <c r="I15" s="69">
        <v>3</v>
      </c>
      <c r="J15" s="69">
        <v>0</v>
      </c>
      <c r="K15" s="69">
        <v>0</v>
      </c>
      <c r="L15" s="69">
        <v>0</v>
      </c>
      <c r="M15" s="69">
        <v>0</v>
      </c>
      <c r="N15" s="69">
        <v>0</v>
      </c>
      <c r="O15" s="69">
        <v>1</v>
      </c>
      <c r="P15" s="69">
        <v>0</v>
      </c>
      <c r="Q15" s="69">
        <v>4</v>
      </c>
      <c r="R15" s="69">
        <v>0</v>
      </c>
      <c r="S15" s="69">
        <v>0</v>
      </c>
      <c r="T15" s="70">
        <v>16</v>
      </c>
    </row>
    <row r="16" spans="1:20" x14ac:dyDescent="0.25">
      <c r="A16" s="135"/>
      <c r="B16" s="63" t="s">
        <v>25</v>
      </c>
      <c r="C16" s="68">
        <v>23</v>
      </c>
      <c r="D16" s="69">
        <v>6</v>
      </c>
      <c r="E16" s="69">
        <v>71</v>
      </c>
      <c r="F16" s="69">
        <v>21</v>
      </c>
      <c r="G16" s="69">
        <v>4</v>
      </c>
      <c r="H16" s="69">
        <v>11</v>
      </c>
      <c r="I16" s="69">
        <v>22</v>
      </c>
      <c r="J16" s="69">
        <v>1</v>
      </c>
      <c r="K16" s="69">
        <v>24</v>
      </c>
      <c r="L16" s="69">
        <v>8</v>
      </c>
      <c r="M16" s="69">
        <v>1</v>
      </c>
      <c r="N16" s="69">
        <v>4</v>
      </c>
      <c r="O16" s="69">
        <v>2</v>
      </c>
      <c r="P16" s="69">
        <v>0</v>
      </c>
      <c r="Q16" s="69">
        <v>65</v>
      </c>
      <c r="R16" s="69">
        <v>12</v>
      </c>
      <c r="S16" s="69">
        <v>2</v>
      </c>
      <c r="T16" s="70">
        <v>277</v>
      </c>
    </row>
    <row r="17" spans="1:20" x14ac:dyDescent="0.25">
      <c r="A17" s="135"/>
      <c r="B17" s="63" t="s">
        <v>26</v>
      </c>
      <c r="C17" s="68">
        <v>0</v>
      </c>
      <c r="D17" s="69">
        <v>0</v>
      </c>
      <c r="E17" s="69">
        <v>1</v>
      </c>
      <c r="F17" s="69">
        <v>1</v>
      </c>
      <c r="G17" s="69">
        <v>0</v>
      </c>
      <c r="H17" s="69">
        <v>0</v>
      </c>
      <c r="I17" s="69">
        <v>0</v>
      </c>
      <c r="J17" s="69">
        <v>0</v>
      </c>
      <c r="K17" s="69">
        <v>0</v>
      </c>
      <c r="L17" s="69">
        <v>0</v>
      </c>
      <c r="M17" s="69">
        <v>0</v>
      </c>
      <c r="N17" s="69">
        <v>0</v>
      </c>
      <c r="O17" s="69">
        <v>0</v>
      </c>
      <c r="P17" s="69">
        <v>1</v>
      </c>
      <c r="Q17" s="69">
        <v>0</v>
      </c>
      <c r="R17" s="69">
        <v>0</v>
      </c>
      <c r="S17" s="69">
        <v>0</v>
      </c>
      <c r="T17" s="70">
        <v>3</v>
      </c>
    </row>
    <row r="18" spans="1:20" ht="25.5" x14ac:dyDescent="0.25">
      <c r="A18" s="135"/>
      <c r="B18" s="63" t="s">
        <v>27</v>
      </c>
      <c r="C18" s="68">
        <v>0</v>
      </c>
      <c r="D18" s="69">
        <v>0</v>
      </c>
      <c r="E18" s="69">
        <v>1</v>
      </c>
      <c r="F18" s="69">
        <v>1</v>
      </c>
      <c r="G18" s="69">
        <v>0</v>
      </c>
      <c r="H18" s="69">
        <v>0</v>
      </c>
      <c r="I18" s="69">
        <v>3</v>
      </c>
      <c r="J18" s="69">
        <v>0</v>
      </c>
      <c r="K18" s="69">
        <v>0</v>
      </c>
      <c r="L18" s="69">
        <v>1</v>
      </c>
      <c r="M18" s="69">
        <v>0</v>
      </c>
      <c r="N18" s="69">
        <v>0</v>
      </c>
      <c r="O18" s="69">
        <v>0</v>
      </c>
      <c r="P18" s="69">
        <v>0</v>
      </c>
      <c r="Q18" s="69">
        <v>0</v>
      </c>
      <c r="R18" s="69">
        <v>0</v>
      </c>
      <c r="S18" s="69">
        <v>1</v>
      </c>
      <c r="T18" s="70">
        <v>7</v>
      </c>
    </row>
    <row r="19" spans="1:20" x14ac:dyDescent="0.25">
      <c r="A19" s="135"/>
      <c r="B19" s="63" t="s">
        <v>28</v>
      </c>
      <c r="C19" s="68">
        <v>0</v>
      </c>
      <c r="D19" s="69">
        <v>0</v>
      </c>
      <c r="E19" s="69">
        <v>0</v>
      </c>
      <c r="F19" s="69">
        <v>0</v>
      </c>
      <c r="G19" s="69">
        <v>0</v>
      </c>
      <c r="H19" s="69">
        <v>0</v>
      </c>
      <c r="I19" s="69">
        <v>0</v>
      </c>
      <c r="J19" s="69">
        <v>0</v>
      </c>
      <c r="K19" s="69">
        <v>1</v>
      </c>
      <c r="L19" s="69">
        <v>0</v>
      </c>
      <c r="M19" s="69">
        <v>0</v>
      </c>
      <c r="N19" s="69">
        <v>0</v>
      </c>
      <c r="O19" s="69">
        <v>0</v>
      </c>
      <c r="P19" s="69">
        <v>0</v>
      </c>
      <c r="Q19" s="69">
        <v>1</v>
      </c>
      <c r="R19" s="69">
        <v>0</v>
      </c>
      <c r="S19" s="69">
        <v>0</v>
      </c>
      <c r="T19" s="70">
        <v>2</v>
      </c>
    </row>
    <row r="20" spans="1:20" ht="25.5" x14ac:dyDescent="0.25">
      <c r="A20" s="135"/>
      <c r="B20" s="63" t="s">
        <v>29</v>
      </c>
      <c r="C20" s="68">
        <v>2</v>
      </c>
      <c r="D20" s="69">
        <v>0</v>
      </c>
      <c r="E20" s="69">
        <v>7</v>
      </c>
      <c r="F20" s="69">
        <v>1</v>
      </c>
      <c r="G20" s="69">
        <v>0</v>
      </c>
      <c r="H20" s="69">
        <v>1</v>
      </c>
      <c r="I20" s="69">
        <v>3</v>
      </c>
      <c r="J20" s="69">
        <v>0</v>
      </c>
      <c r="K20" s="69">
        <v>0</v>
      </c>
      <c r="L20" s="69">
        <v>0</v>
      </c>
      <c r="M20" s="69">
        <v>0</v>
      </c>
      <c r="N20" s="69">
        <v>1</v>
      </c>
      <c r="O20" s="69">
        <v>0</v>
      </c>
      <c r="P20" s="69">
        <v>0</v>
      </c>
      <c r="Q20" s="69">
        <v>12</v>
      </c>
      <c r="R20" s="69">
        <v>0</v>
      </c>
      <c r="S20" s="69">
        <v>1</v>
      </c>
      <c r="T20" s="70">
        <v>28</v>
      </c>
    </row>
    <row r="21" spans="1:20" ht="25.5" x14ac:dyDescent="0.25">
      <c r="A21" s="135"/>
      <c r="B21" s="63" t="s">
        <v>30</v>
      </c>
      <c r="C21" s="68">
        <v>0</v>
      </c>
      <c r="D21" s="69">
        <v>0</v>
      </c>
      <c r="E21" s="69">
        <v>4</v>
      </c>
      <c r="F21" s="69">
        <v>2</v>
      </c>
      <c r="G21" s="69">
        <v>0</v>
      </c>
      <c r="H21" s="69">
        <v>0</v>
      </c>
      <c r="I21" s="69">
        <v>3</v>
      </c>
      <c r="J21" s="69">
        <v>0</v>
      </c>
      <c r="K21" s="69">
        <v>0</v>
      </c>
      <c r="L21" s="69">
        <v>0</v>
      </c>
      <c r="M21" s="69">
        <v>0</v>
      </c>
      <c r="N21" s="69">
        <v>0</v>
      </c>
      <c r="O21" s="69">
        <v>0</v>
      </c>
      <c r="P21" s="69">
        <v>0</v>
      </c>
      <c r="Q21" s="69">
        <v>0</v>
      </c>
      <c r="R21" s="69">
        <v>0</v>
      </c>
      <c r="S21" s="69">
        <v>0</v>
      </c>
      <c r="T21" s="70">
        <v>9</v>
      </c>
    </row>
    <row r="22" spans="1:20" x14ac:dyDescent="0.25">
      <c r="A22" s="135"/>
      <c r="B22" s="63" t="s">
        <v>31</v>
      </c>
      <c r="C22" s="68">
        <v>0</v>
      </c>
      <c r="D22" s="69">
        <v>0</v>
      </c>
      <c r="E22" s="69">
        <v>8</v>
      </c>
      <c r="F22" s="69">
        <v>4</v>
      </c>
      <c r="G22" s="69">
        <v>0</v>
      </c>
      <c r="H22" s="69">
        <v>0</v>
      </c>
      <c r="I22" s="69">
        <v>0</v>
      </c>
      <c r="J22" s="69">
        <v>0</v>
      </c>
      <c r="K22" s="69">
        <v>0</v>
      </c>
      <c r="L22" s="69">
        <v>0</v>
      </c>
      <c r="M22" s="69">
        <v>0</v>
      </c>
      <c r="N22" s="69">
        <v>1</v>
      </c>
      <c r="O22" s="69">
        <v>0</v>
      </c>
      <c r="P22" s="69">
        <v>0</v>
      </c>
      <c r="Q22" s="69">
        <v>3</v>
      </c>
      <c r="R22" s="69">
        <v>0</v>
      </c>
      <c r="S22" s="69">
        <v>0</v>
      </c>
      <c r="T22" s="70">
        <v>16</v>
      </c>
    </row>
    <row r="23" spans="1:20" x14ac:dyDescent="0.25">
      <c r="A23" s="135"/>
      <c r="B23" s="63" t="s">
        <v>32</v>
      </c>
      <c r="C23" s="68">
        <v>0</v>
      </c>
      <c r="D23" s="69">
        <v>1</v>
      </c>
      <c r="E23" s="69">
        <v>2</v>
      </c>
      <c r="F23" s="69">
        <v>0</v>
      </c>
      <c r="G23" s="69">
        <v>0</v>
      </c>
      <c r="H23" s="69">
        <v>1</v>
      </c>
      <c r="I23" s="69">
        <v>0</v>
      </c>
      <c r="J23" s="69">
        <v>0</v>
      </c>
      <c r="K23" s="69">
        <v>0</v>
      </c>
      <c r="L23" s="69">
        <v>0</v>
      </c>
      <c r="M23" s="69">
        <v>0</v>
      </c>
      <c r="N23" s="69">
        <v>0</v>
      </c>
      <c r="O23" s="69">
        <v>0</v>
      </c>
      <c r="P23" s="69">
        <v>0</v>
      </c>
      <c r="Q23" s="69">
        <v>5</v>
      </c>
      <c r="R23" s="69">
        <v>1</v>
      </c>
      <c r="S23" s="69">
        <v>0</v>
      </c>
      <c r="T23" s="70">
        <v>10</v>
      </c>
    </row>
    <row r="24" spans="1:20" ht="25.5" x14ac:dyDescent="0.25">
      <c r="A24" s="135"/>
      <c r="B24" s="63" t="s">
        <v>33</v>
      </c>
      <c r="C24" s="68">
        <v>16</v>
      </c>
      <c r="D24" s="69">
        <v>1</v>
      </c>
      <c r="E24" s="69">
        <v>21</v>
      </c>
      <c r="F24" s="69">
        <v>5</v>
      </c>
      <c r="G24" s="69">
        <v>1</v>
      </c>
      <c r="H24" s="69">
        <v>0</v>
      </c>
      <c r="I24" s="69">
        <v>9</v>
      </c>
      <c r="J24" s="69">
        <v>0</v>
      </c>
      <c r="K24" s="69">
        <v>2</v>
      </c>
      <c r="L24" s="69">
        <v>3</v>
      </c>
      <c r="M24" s="69">
        <v>0</v>
      </c>
      <c r="N24" s="69">
        <v>0</v>
      </c>
      <c r="O24" s="69">
        <v>0</v>
      </c>
      <c r="P24" s="69">
        <v>0</v>
      </c>
      <c r="Q24" s="69">
        <v>31</v>
      </c>
      <c r="R24" s="69">
        <v>5</v>
      </c>
      <c r="S24" s="69">
        <v>1</v>
      </c>
      <c r="T24" s="70">
        <v>95</v>
      </c>
    </row>
    <row r="25" spans="1:20" ht="25.5" x14ac:dyDescent="0.25">
      <c r="A25" s="135"/>
      <c r="B25" s="63" t="s">
        <v>34</v>
      </c>
      <c r="C25" s="68">
        <v>6</v>
      </c>
      <c r="D25" s="69">
        <v>0</v>
      </c>
      <c r="E25" s="69">
        <v>6</v>
      </c>
      <c r="F25" s="69">
        <v>1</v>
      </c>
      <c r="G25" s="69">
        <v>0</v>
      </c>
      <c r="H25" s="69">
        <v>0</v>
      </c>
      <c r="I25" s="69">
        <v>0</v>
      </c>
      <c r="J25" s="69">
        <v>0</v>
      </c>
      <c r="K25" s="69">
        <v>2</v>
      </c>
      <c r="L25" s="69">
        <v>0</v>
      </c>
      <c r="M25" s="69">
        <v>0</v>
      </c>
      <c r="N25" s="69">
        <v>0</v>
      </c>
      <c r="O25" s="69">
        <v>0</v>
      </c>
      <c r="P25" s="69">
        <v>0</v>
      </c>
      <c r="Q25" s="69">
        <v>4</v>
      </c>
      <c r="R25" s="69">
        <v>0</v>
      </c>
      <c r="S25" s="69">
        <v>0</v>
      </c>
      <c r="T25" s="70">
        <v>19</v>
      </c>
    </row>
    <row r="26" spans="1:20" x14ac:dyDescent="0.25">
      <c r="A26" s="135"/>
      <c r="B26" s="63" t="s">
        <v>35</v>
      </c>
      <c r="C26" s="68">
        <v>0</v>
      </c>
      <c r="D26" s="69">
        <v>0</v>
      </c>
      <c r="E26" s="69">
        <v>8</v>
      </c>
      <c r="F26" s="69">
        <v>0</v>
      </c>
      <c r="G26" s="69">
        <v>0</v>
      </c>
      <c r="H26" s="69">
        <v>1</v>
      </c>
      <c r="I26" s="69">
        <v>1</v>
      </c>
      <c r="J26" s="69">
        <v>0</v>
      </c>
      <c r="K26" s="69">
        <v>0</v>
      </c>
      <c r="L26" s="69">
        <v>0</v>
      </c>
      <c r="M26" s="69">
        <v>1</v>
      </c>
      <c r="N26" s="69">
        <v>0</v>
      </c>
      <c r="O26" s="69">
        <v>1</v>
      </c>
      <c r="P26" s="69">
        <v>0</v>
      </c>
      <c r="Q26" s="69">
        <v>7</v>
      </c>
      <c r="R26" s="69">
        <v>0</v>
      </c>
      <c r="S26" s="69">
        <v>0</v>
      </c>
      <c r="T26" s="70">
        <v>19</v>
      </c>
    </row>
    <row r="27" spans="1:20" ht="25.5" x14ac:dyDescent="0.25">
      <c r="A27" s="135"/>
      <c r="B27" s="63" t="s">
        <v>36</v>
      </c>
      <c r="C27" s="68">
        <v>24</v>
      </c>
      <c r="D27" s="69">
        <v>0</v>
      </c>
      <c r="E27" s="69">
        <v>9</v>
      </c>
      <c r="F27" s="69">
        <v>1</v>
      </c>
      <c r="G27" s="69">
        <v>0</v>
      </c>
      <c r="H27" s="69">
        <v>0</v>
      </c>
      <c r="I27" s="69">
        <v>3</v>
      </c>
      <c r="J27" s="69">
        <v>0</v>
      </c>
      <c r="K27" s="69">
        <v>8</v>
      </c>
      <c r="L27" s="69">
        <v>2</v>
      </c>
      <c r="M27" s="69">
        <v>0</v>
      </c>
      <c r="N27" s="69">
        <v>0</v>
      </c>
      <c r="O27" s="69">
        <v>0</v>
      </c>
      <c r="P27" s="69">
        <v>0</v>
      </c>
      <c r="Q27" s="69">
        <v>29</v>
      </c>
      <c r="R27" s="69">
        <v>0</v>
      </c>
      <c r="S27" s="69">
        <v>0</v>
      </c>
      <c r="T27" s="70">
        <v>76</v>
      </c>
    </row>
    <row r="28" spans="1:20" x14ac:dyDescent="0.25">
      <c r="A28" s="135"/>
      <c r="B28" s="63" t="s">
        <v>37</v>
      </c>
      <c r="C28" s="68">
        <v>0</v>
      </c>
      <c r="D28" s="69">
        <v>0</v>
      </c>
      <c r="E28" s="69">
        <v>2</v>
      </c>
      <c r="F28" s="69">
        <v>1</v>
      </c>
      <c r="G28" s="69">
        <v>0</v>
      </c>
      <c r="H28" s="69">
        <v>0</v>
      </c>
      <c r="I28" s="69">
        <v>0</v>
      </c>
      <c r="J28" s="69">
        <v>0</v>
      </c>
      <c r="K28" s="69">
        <v>0</v>
      </c>
      <c r="L28" s="69">
        <v>0</v>
      </c>
      <c r="M28" s="69">
        <v>0</v>
      </c>
      <c r="N28" s="69">
        <v>0</v>
      </c>
      <c r="O28" s="69">
        <v>0</v>
      </c>
      <c r="P28" s="69">
        <v>0</v>
      </c>
      <c r="Q28" s="69">
        <v>3</v>
      </c>
      <c r="R28" s="69">
        <v>0</v>
      </c>
      <c r="S28" s="69">
        <v>0</v>
      </c>
      <c r="T28" s="70">
        <v>6</v>
      </c>
    </row>
    <row r="29" spans="1:20" ht="25.5" x14ac:dyDescent="0.25">
      <c r="A29" s="135"/>
      <c r="B29" s="63" t="s">
        <v>38</v>
      </c>
      <c r="C29" s="68">
        <v>29</v>
      </c>
      <c r="D29" s="69">
        <v>3</v>
      </c>
      <c r="E29" s="69">
        <v>41</v>
      </c>
      <c r="F29" s="69">
        <v>7</v>
      </c>
      <c r="G29" s="69">
        <v>2</v>
      </c>
      <c r="H29" s="69">
        <v>4</v>
      </c>
      <c r="I29" s="69">
        <v>14</v>
      </c>
      <c r="J29" s="69">
        <v>0</v>
      </c>
      <c r="K29" s="69">
        <v>19</v>
      </c>
      <c r="L29" s="69">
        <v>6</v>
      </c>
      <c r="M29" s="69">
        <v>1</v>
      </c>
      <c r="N29" s="69">
        <v>1</v>
      </c>
      <c r="O29" s="69">
        <v>0</v>
      </c>
      <c r="P29" s="69">
        <v>0</v>
      </c>
      <c r="Q29" s="69">
        <v>24</v>
      </c>
      <c r="R29" s="69">
        <v>7</v>
      </c>
      <c r="S29" s="69">
        <v>3</v>
      </c>
      <c r="T29" s="70">
        <v>161</v>
      </c>
    </row>
    <row r="30" spans="1:20" x14ac:dyDescent="0.25">
      <c r="A30" s="135"/>
      <c r="B30" s="63" t="s">
        <v>39</v>
      </c>
      <c r="C30" s="68">
        <v>7</v>
      </c>
      <c r="D30" s="69">
        <v>2</v>
      </c>
      <c r="E30" s="69">
        <v>18</v>
      </c>
      <c r="F30" s="69">
        <v>3</v>
      </c>
      <c r="G30" s="69">
        <v>0</v>
      </c>
      <c r="H30" s="69">
        <v>0</v>
      </c>
      <c r="I30" s="69">
        <v>7</v>
      </c>
      <c r="J30" s="69">
        <v>0</v>
      </c>
      <c r="K30" s="69">
        <v>4</v>
      </c>
      <c r="L30" s="69">
        <v>2</v>
      </c>
      <c r="M30" s="69">
        <v>0</v>
      </c>
      <c r="N30" s="69">
        <v>0</v>
      </c>
      <c r="O30" s="69">
        <v>0</v>
      </c>
      <c r="P30" s="69">
        <v>0</v>
      </c>
      <c r="Q30" s="69">
        <v>3</v>
      </c>
      <c r="R30" s="69">
        <v>5</v>
      </c>
      <c r="S30" s="69">
        <v>0</v>
      </c>
      <c r="T30" s="70">
        <v>51</v>
      </c>
    </row>
    <row r="31" spans="1:20" ht="25.5" x14ac:dyDescent="0.25">
      <c r="A31" s="135"/>
      <c r="B31" s="63" t="s">
        <v>40</v>
      </c>
      <c r="C31" s="68">
        <v>29</v>
      </c>
      <c r="D31" s="69">
        <v>4</v>
      </c>
      <c r="E31" s="69">
        <v>32</v>
      </c>
      <c r="F31" s="69">
        <v>6</v>
      </c>
      <c r="G31" s="69">
        <v>1</v>
      </c>
      <c r="H31" s="69">
        <v>4</v>
      </c>
      <c r="I31" s="69">
        <v>11</v>
      </c>
      <c r="J31" s="69">
        <v>0</v>
      </c>
      <c r="K31" s="69">
        <v>23</v>
      </c>
      <c r="L31" s="69">
        <v>5</v>
      </c>
      <c r="M31" s="69">
        <v>1</v>
      </c>
      <c r="N31" s="69">
        <v>0</v>
      </c>
      <c r="O31" s="69">
        <v>0</v>
      </c>
      <c r="P31" s="69">
        <v>0</v>
      </c>
      <c r="Q31" s="69">
        <v>11</v>
      </c>
      <c r="R31" s="69">
        <v>5</v>
      </c>
      <c r="S31" s="69">
        <v>4</v>
      </c>
      <c r="T31" s="70">
        <v>136</v>
      </c>
    </row>
    <row r="32" spans="1:20" x14ac:dyDescent="0.25">
      <c r="A32" s="135"/>
      <c r="B32" s="63" t="s">
        <v>41</v>
      </c>
      <c r="C32" s="68">
        <v>3</v>
      </c>
      <c r="D32" s="69">
        <v>0</v>
      </c>
      <c r="E32" s="69">
        <v>5</v>
      </c>
      <c r="F32" s="69">
        <v>3</v>
      </c>
      <c r="G32" s="69">
        <v>0</v>
      </c>
      <c r="H32" s="69">
        <v>0</v>
      </c>
      <c r="I32" s="69">
        <v>0</v>
      </c>
      <c r="J32" s="69">
        <v>0</v>
      </c>
      <c r="K32" s="69">
        <v>2</v>
      </c>
      <c r="L32" s="69">
        <v>0</v>
      </c>
      <c r="M32" s="69">
        <v>0</v>
      </c>
      <c r="N32" s="69">
        <v>0</v>
      </c>
      <c r="O32" s="69">
        <v>0</v>
      </c>
      <c r="P32" s="69">
        <v>1</v>
      </c>
      <c r="Q32" s="69">
        <v>5</v>
      </c>
      <c r="R32" s="69">
        <v>1</v>
      </c>
      <c r="S32" s="69">
        <v>0</v>
      </c>
      <c r="T32" s="70">
        <v>20</v>
      </c>
    </row>
    <row r="33" spans="1:20" x14ac:dyDescent="0.25">
      <c r="A33" s="135"/>
      <c r="B33" s="63" t="s">
        <v>42</v>
      </c>
      <c r="C33" s="68">
        <v>3</v>
      </c>
      <c r="D33" s="69">
        <v>1</v>
      </c>
      <c r="E33" s="69">
        <v>5</v>
      </c>
      <c r="F33" s="69">
        <v>3</v>
      </c>
      <c r="G33" s="69">
        <v>1</v>
      </c>
      <c r="H33" s="69">
        <v>1</v>
      </c>
      <c r="I33" s="69">
        <v>0</v>
      </c>
      <c r="J33" s="69">
        <v>0</v>
      </c>
      <c r="K33" s="69">
        <v>2</v>
      </c>
      <c r="L33" s="69">
        <v>0</v>
      </c>
      <c r="M33" s="69">
        <v>0</v>
      </c>
      <c r="N33" s="69">
        <v>0</v>
      </c>
      <c r="O33" s="69">
        <v>1</v>
      </c>
      <c r="P33" s="69">
        <v>0</v>
      </c>
      <c r="Q33" s="69">
        <v>6</v>
      </c>
      <c r="R33" s="69">
        <v>0</v>
      </c>
      <c r="S33" s="69">
        <v>0</v>
      </c>
      <c r="T33" s="70">
        <v>23</v>
      </c>
    </row>
    <row r="34" spans="1:20" ht="25.5" x14ac:dyDescent="0.25">
      <c r="A34" s="135"/>
      <c r="B34" s="63" t="s">
        <v>43</v>
      </c>
      <c r="C34" s="68">
        <v>12</v>
      </c>
      <c r="D34" s="69">
        <v>2</v>
      </c>
      <c r="E34" s="69">
        <v>6</v>
      </c>
      <c r="F34" s="69">
        <v>1</v>
      </c>
      <c r="G34" s="69">
        <v>1</v>
      </c>
      <c r="H34" s="69">
        <v>0</v>
      </c>
      <c r="I34" s="69">
        <v>4</v>
      </c>
      <c r="J34" s="69">
        <v>0</v>
      </c>
      <c r="K34" s="69">
        <v>6</v>
      </c>
      <c r="L34" s="69">
        <v>2</v>
      </c>
      <c r="M34" s="69">
        <v>2</v>
      </c>
      <c r="N34" s="69">
        <v>0</v>
      </c>
      <c r="O34" s="69">
        <v>0</v>
      </c>
      <c r="P34" s="69">
        <v>0</v>
      </c>
      <c r="Q34" s="69">
        <v>48</v>
      </c>
      <c r="R34" s="69">
        <v>1</v>
      </c>
      <c r="S34" s="69">
        <v>0</v>
      </c>
      <c r="T34" s="70">
        <v>85</v>
      </c>
    </row>
    <row r="35" spans="1:20" ht="25.5" x14ac:dyDescent="0.25">
      <c r="A35" s="135"/>
      <c r="B35" s="63" t="s">
        <v>44</v>
      </c>
      <c r="C35" s="68">
        <v>0</v>
      </c>
      <c r="D35" s="69">
        <v>0</v>
      </c>
      <c r="E35" s="69">
        <v>4</v>
      </c>
      <c r="F35" s="69">
        <v>0</v>
      </c>
      <c r="G35" s="69">
        <v>0</v>
      </c>
      <c r="H35" s="69">
        <v>0</v>
      </c>
      <c r="I35" s="69">
        <v>2</v>
      </c>
      <c r="J35" s="69">
        <v>0</v>
      </c>
      <c r="K35" s="69">
        <v>3</v>
      </c>
      <c r="L35" s="69">
        <v>0</v>
      </c>
      <c r="M35" s="69">
        <v>0</v>
      </c>
      <c r="N35" s="69">
        <v>0</v>
      </c>
      <c r="O35" s="69">
        <v>0</v>
      </c>
      <c r="P35" s="69">
        <v>0</v>
      </c>
      <c r="Q35" s="69">
        <v>9</v>
      </c>
      <c r="R35" s="69">
        <v>0</v>
      </c>
      <c r="S35" s="69">
        <v>0</v>
      </c>
      <c r="T35" s="70">
        <v>18</v>
      </c>
    </row>
    <row r="36" spans="1:20" x14ac:dyDescent="0.25">
      <c r="A36" s="135"/>
      <c r="B36" s="63" t="s">
        <v>45</v>
      </c>
      <c r="C36" s="68">
        <v>3</v>
      </c>
      <c r="D36" s="69">
        <v>1</v>
      </c>
      <c r="E36" s="69">
        <v>10</v>
      </c>
      <c r="F36" s="69">
        <v>1</v>
      </c>
      <c r="G36" s="69">
        <v>1</v>
      </c>
      <c r="H36" s="69">
        <v>1</v>
      </c>
      <c r="I36" s="69">
        <v>6</v>
      </c>
      <c r="J36" s="69">
        <v>0</v>
      </c>
      <c r="K36" s="69">
        <v>13</v>
      </c>
      <c r="L36" s="69">
        <v>2</v>
      </c>
      <c r="M36" s="69">
        <v>1</v>
      </c>
      <c r="N36" s="69">
        <v>0</v>
      </c>
      <c r="O36" s="69">
        <v>0</v>
      </c>
      <c r="P36" s="69">
        <v>0</v>
      </c>
      <c r="Q36" s="69">
        <v>3</v>
      </c>
      <c r="R36" s="69">
        <v>3</v>
      </c>
      <c r="S36" s="69">
        <v>1</v>
      </c>
      <c r="T36" s="70">
        <v>46</v>
      </c>
    </row>
    <row r="37" spans="1:20" ht="25.5" x14ac:dyDescent="0.25">
      <c r="A37" s="135"/>
      <c r="B37" s="63" t="s">
        <v>46</v>
      </c>
      <c r="C37" s="68">
        <v>7</v>
      </c>
      <c r="D37" s="69">
        <v>0</v>
      </c>
      <c r="E37" s="69">
        <v>14</v>
      </c>
      <c r="F37" s="69">
        <v>3</v>
      </c>
      <c r="G37" s="69">
        <v>0</v>
      </c>
      <c r="H37" s="69">
        <v>0</v>
      </c>
      <c r="I37" s="69">
        <v>6</v>
      </c>
      <c r="J37" s="69">
        <v>0</v>
      </c>
      <c r="K37" s="69">
        <v>1</v>
      </c>
      <c r="L37" s="69">
        <v>1</v>
      </c>
      <c r="M37" s="69">
        <v>1</v>
      </c>
      <c r="N37" s="69">
        <v>0</v>
      </c>
      <c r="O37" s="69">
        <v>0</v>
      </c>
      <c r="P37" s="69">
        <v>0</v>
      </c>
      <c r="Q37" s="69">
        <v>9</v>
      </c>
      <c r="R37" s="69">
        <v>1</v>
      </c>
      <c r="S37" s="69">
        <v>0</v>
      </c>
      <c r="T37" s="70">
        <v>43</v>
      </c>
    </row>
    <row r="38" spans="1:20" ht="25.5" x14ac:dyDescent="0.25">
      <c r="A38" s="135"/>
      <c r="B38" s="63" t="s">
        <v>47</v>
      </c>
      <c r="C38" s="68">
        <v>2</v>
      </c>
      <c r="D38" s="69">
        <v>1</v>
      </c>
      <c r="E38" s="69">
        <v>9</v>
      </c>
      <c r="F38" s="69">
        <v>3</v>
      </c>
      <c r="G38" s="69">
        <v>0</v>
      </c>
      <c r="H38" s="69">
        <v>3</v>
      </c>
      <c r="I38" s="69">
        <v>2</v>
      </c>
      <c r="J38" s="69">
        <v>0</v>
      </c>
      <c r="K38" s="69">
        <v>2</v>
      </c>
      <c r="L38" s="69">
        <v>1</v>
      </c>
      <c r="M38" s="69">
        <v>0</v>
      </c>
      <c r="N38" s="69">
        <v>1</v>
      </c>
      <c r="O38" s="69">
        <v>0</v>
      </c>
      <c r="P38" s="69">
        <v>0</v>
      </c>
      <c r="Q38" s="69">
        <v>2</v>
      </c>
      <c r="R38" s="69">
        <v>3</v>
      </c>
      <c r="S38" s="69">
        <v>1</v>
      </c>
      <c r="T38" s="70">
        <v>30</v>
      </c>
    </row>
    <row r="39" spans="1:20" ht="25.5" x14ac:dyDescent="0.25">
      <c r="A39" s="135"/>
      <c r="B39" s="63" t="s">
        <v>48</v>
      </c>
      <c r="C39" s="68">
        <v>2</v>
      </c>
      <c r="D39" s="69">
        <v>2</v>
      </c>
      <c r="E39" s="69">
        <v>3</v>
      </c>
      <c r="F39" s="69">
        <v>2</v>
      </c>
      <c r="G39" s="69">
        <v>0</v>
      </c>
      <c r="H39" s="69">
        <v>5</v>
      </c>
      <c r="I39" s="69">
        <v>1</v>
      </c>
      <c r="J39" s="69">
        <v>0</v>
      </c>
      <c r="K39" s="69">
        <v>0</v>
      </c>
      <c r="L39" s="69">
        <v>1</v>
      </c>
      <c r="M39" s="69">
        <v>0</v>
      </c>
      <c r="N39" s="69">
        <v>0</v>
      </c>
      <c r="O39" s="69">
        <v>0</v>
      </c>
      <c r="P39" s="69">
        <v>0</v>
      </c>
      <c r="Q39" s="69">
        <v>1</v>
      </c>
      <c r="R39" s="69">
        <v>2</v>
      </c>
      <c r="S39" s="69">
        <v>0</v>
      </c>
      <c r="T39" s="70">
        <v>19</v>
      </c>
    </row>
    <row r="40" spans="1:20" ht="15.75" thickBot="1" x14ac:dyDescent="0.3">
      <c r="A40" s="136" t="s">
        <v>188</v>
      </c>
      <c r="B40" s="137"/>
      <c r="C40" s="71">
        <v>213</v>
      </c>
      <c r="D40" s="72">
        <v>41</v>
      </c>
      <c r="E40" s="72">
        <v>465</v>
      </c>
      <c r="F40" s="72">
        <v>146</v>
      </c>
      <c r="G40" s="72">
        <v>19</v>
      </c>
      <c r="H40" s="72">
        <v>57</v>
      </c>
      <c r="I40" s="72">
        <v>162</v>
      </c>
      <c r="J40" s="72">
        <v>3</v>
      </c>
      <c r="K40" s="72">
        <v>155</v>
      </c>
      <c r="L40" s="72">
        <v>44</v>
      </c>
      <c r="M40" s="72">
        <v>15</v>
      </c>
      <c r="N40" s="72">
        <v>17</v>
      </c>
      <c r="O40" s="72">
        <v>9</v>
      </c>
      <c r="P40" s="72">
        <v>8</v>
      </c>
      <c r="Q40" s="72">
        <v>393</v>
      </c>
      <c r="R40" s="72">
        <v>81</v>
      </c>
      <c r="S40" s="72">
        <v>26</v>
      </c>
      <c r="T40" s="73" t="s">
        <v>1224</v>
      </c>
    </row>
    <row r="41" spans="1:20" ht="15.75" thickTop="1" x14ac:dyDescent="0.25"/>
  </sheetData>
  <mergeCells count="5">
    <mergeCell ref="A3:A39"/>
    <mergeCell ref="A40:B40"/>
    <mergeCell ref="A1:B2"/>
    <mergeCell ref="C1:S1"/>
    <mergeCell ref="T1:T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Charts</vt:lpstr>
      </vt:variant>
      <vt:variant>
        <vt:i4>14</vt:i4>
      </vt:variant>
    </vt:vector>
  </HeadingPairs>
  <TitlesOfParts>
    <vt:vector size="24" baseType="lpstr">
      <vt:lpstr>Project Description</vt:lpstr>
      <vt:lpstr>Records</vt:lpstr>
      <vt:lpstr>Cell values</vt:lpstr>
      <vt:lpstr>Analysis</vt:lpstr>
      <vt:lpstr>Figure 6</vt:lpstr>
      <vt:lpstr>Table 3</vt:lpstr>
      <vt:lpstr>Table 4</vt:lpstr>
      <vt:lpstr>Table 5</vt:lpstr>
      <vt:lpstr>Crosstab data</vt:lpstr>
      <vt:lpstr>Crosstab</vt:lpstr>
      <vt:lpstr>Figure 1</vt:lpstr>
      <vt:lpstr>Figure 2</vt:lpstr>
      <vt:lpstr>Figure 3</vt:lpstr>
      <vt:lpstr>Figure 4</vt:lpstr>
      <vt:lpstr>Figure 5</vt:lpstr>
      <vt:lpstr>Figure 5.1</vt:lpstr>
      <vt:lpstr>Figure 5.2</vt:lpstr>
      <vt:lpstr>Figure 5.3</vt:lpstr>
      <vt:lpstr>Figure 5.4</vt:lpstr>
      <vt:lpstr>Figure 5.5</vt:lpstr>
      <vt:lpstr>Figure 5.6</vt:lpstr>
      <vt:lpstr>Figure 7</vt:lpstr>
      <vt:lpstr>Figure 8</vt:lpstr>
      <vt:lpstr>Figure 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FEEC</dc:creator>
  <cp:lastModifiedBy>Ralph Hall</cp:lastModifiedBy>
  <dcterms:created xsi:type="dcterms:W3CDTF">2012-08-13T14:50:24Z</dcterms:created>
  <dcterms:modified xsi:type="dcterms:W3CDTF">2013-01-07T14:52:38Z</dcterms:modified>
</cp:coreProperties>
</file>